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5200" windowHeight="11835" activeTab="2"/>
  </bookViews>
  <sheets>
    <sheet name="2017" sheetId="2" r:id="rId1"/>
    <sheet name="2018" sheetId="1" r:id="rId2"/>
    <sheet name="2019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'2017'!$A$1:$E$57</definedName>
    <definedName name="_xlnm.Print_Area" localSheetId="1">'2018'!$A$1:$E$57</definedName>
    <definedName name="_xlnm.Print_Area" localSheetId="2">'2019'!$A$1:$E$57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3" l="1"/>
  <c r="G18" i="3"/>
  <c r="G17" i="3"/>
  <c r="E32" i="3" l="1"/>
  <c r="E55" i="3"/>
  <c r="H57" i="3"/>
  <c r="E15" i="3" l="1"/>
  <c r="E32" i="2" l="1"/>
  <c r="E30" i="3" l="1"/>
  <c r="E29" i="3"/>
  <c r="E28" i="3"/>
  <c r="E31" i="3"/>
  <c r="E52" i="3"/>
  <c r="E51" i="3"/>
  <c r="E42" i="3"/>
  <c r="E25" i="3"/>
  <c r="E24" i="3"/>
  <c r="E23" i="3"/>
  <c r="E22" i="3"/>
  <c r="E18" i="3"/>
  <c r="E17" i="3"/>
  <c r="E16" i="3"/>
  <c r="E41" i="2" l="1"/>
  <c r="E39" i="2"/>
  <c r="E40" i="2"/>
  <c r="E38" i="2"/>
  <c r="E55" i="2"/>
  <c r="E51" i="2"/>
  <c r="E30" i="2"/>
  <c r="E29" i="2"/>
  <c r="E28" i="2"/>
  <c r="E25" i="2"/>
  <c r="E24" i="2"/>
  <c r="E16" i="2"/>
  <c r="E14" i="2" s="1"/>
  <c r="E32" i="1"/>
  <c r="E47" i="1"/>
  <c r="E38" i="1"/>
  <c r="E41" i="1"/>
  <c r="E40" i="1"/>
  <c r="E39" i="1"/>
  <c r="E56" i="3"/>
  <c r="D56" i="3"/>
  <c r="D55" i="3"/>
  <c r="D51" i="3"/>
  <c r="E47" i="3"/>
  <c r="D47" i="3"/>
  <c r="D43" i="3"/>
  <c r="D38" i="3"/>
  <c r="D33" i="3"/>
  <c r="D57" i="3" s="1"/>
  <c r="D32" i="3"/>
  <c r="D21" i="3"/>
  <c r="D19" i="3"/>
  <c r="E14" i="3"/>
  <c r="D14" i="3"/>
  <c r="E11" i="3"/>
  <c r="D11" i="3"/>
  <c r="D55" i="2"/>
  <c r="D56" i="2" s="1"/>
  <c r="D51" i="2"/>
  <c r="E47" i="2"/>
  <c r="D43" i="2"/>
  <c r="D47" i="2" s="1"/>
  <c r="D38" i="2"/>
  <c r="D32" i="2"/>
  <c r="D19" i="2" s="1"/>
  <c r="D21" i="2"/>
  <c r="D14" i="2"/>
  <c r="D33" i="2" s="1"/>
  <c r="E11" i="2"/>
  <c r="D11" i="2"/>
  <c r="E56" i="2" l="1"/>
  <c r="E21" i="2"/>
  <c r="E19" i="2" s="1"/>
  <c r="E33" i="2" s="1"/>
  <c r="D57" i="2"/>
  <c r="E57" i="2" l="1"/>
  <c r="J57" i="2" s="1"/>
  <c r="D55" i="1"/>
  <c r="D51" i="1"/>
  <c r="D43" i="1"/>
  <c r="D38" i="1"/>
  <c r="D32" i="1"/>
  <c r="D21" i="1"/>
  <c r="D14" i="1"/>
  <c r="E11" i="1"/>
  <c r="D11" i="1"/>
  <c r="D19" i="1" l="1"/>
  <c r="D33" i="1" s="1"/>
  <c r="E14" i="1"/>
  <c r="D47" i="1"/>
  <c r="E56" i="1"/>
  <c r="D56" i="1"/>
  <c r="D57" i="1" l="1"/>
  <c r="E26" i="1" l="1"/>
  <c r="E22" i="1"/>
  <c r="E28" i="1"/>
  <c r="E24" i="1" l="1"/>
  <c r="E23" i="1"/>
  <c r="E21" i="1" s="1"/>
  <c r="E19" i="1" s="1"/>
  <c r="E33" i="1" s="1"/>
  <c r="E57" i="1" s="1"/>
  <c r="J57" i="1" s="1"/>
  <c r="E29" i="1"/>
  <c r="E25" i="1"/>
  <c r="E30" i="1"/>
  <c r="E26" i="3" l="1"/>
  <c r="E21" i="3" s="1"/>
  <c r="E19" i="3" s="1"/>
  <c r="E33" i="3" s="1"/>
  <c r="E57" i="3" s="1"/>
  <c r="J57" i="3" l="1"/>
</calcChain>
</file>

<file path=xl/sharedStrings.xml><?xml version="1.0" encoding="utf-8"?>
<sst xmlns="http://schemas.openxmlformats.org/spreadsheetml/2006/main" count="414" uniqueCount="101">
  <si>
    <t>№№ 
п/п</t>
  </si>
  <si>
    <t>Наименование показателей</t>
  </si>
  <si>
    <t>Ед. изм.</t>
  </si>
  <si>
    <t>Установлено РЭК на 2015 г.</t>
  </si>
  <si>
    <t>Факт 
2015 г.</t>
  </si>
  <si>
    <t>8</t>
  </si>
  <si>
    <t>9</t>
  </si>
  <si>
    <t>Расчёт коэффициента индексации</t>
  </si>
  <si>
    <t>передача ээ</t>
  </si>
  <si>
    <t>инфляция</t>
  </si>
  <si>
    <t>%</t>
  </si>
  <si>
    <t>индекс эффективности операционных расходов</t>
  </si>
  <si>
    <t>количество активов, всего</t>
  </si>
  <si>
    <t>у.е.</t>
  </si>
  <si>
    <t>индекс изменения количества активов</t>
  </si>
  <si>
    <t>коэффициент эластичности операционных расходов по росту активов</t>
  </si>
  <si>
    <t>итого коэффициент индексации</t>
  </si>
  <si>
    <t>Расчет подконтрольных расходов</t>
  </si>
  <si>
    <t>1.1</t>
  </si>
  <si>
    <t>Материальные затраты</t>
  </si>
  <si>
    <t>тыс.руб.</t>
  </si>
  <si>
    <t>1.1.1</t>
  </si>
  <si>
    <t>Сырье, материалы, запасные части, инструмент, топливо</t>
  </si>
  <si>
    <t>1.1.2</t>
  </si>
  <si>
    <t>Работы и услуги производственного характера (в т.ч. услуги сторонних организаций по содержанию сетей и распределительных устройств)</t>
  </si>
  <si>
    <t>1.2</t>
  </si>
  <si>
    <t>Расходы на оплату труда</t>
  </si>
  <si>
    <t>1.3</t>
  </si>
  <si>
    <t>Прочие расходы, всего, в том числе:</t>
  </si>
  <si>
    <t>1.3.1</t>
  </si>
  <si>
    <t>Ремонт основных фондов</t>
  </si>
  <si>
    <t>1.3.2</t>
  </si>
  <si>
    <t>Оплата работ и услуг сторонних организаций</t>
  </si>
  <si>
    <t>1.3.2.1</t>
  </si>
  <si>
    <t>услуги связи</t>
  </si>
  <si>
    <t>1.3.2.2</t>
  </si>
  <si>
    <t>Расходы на услуги вневедомственной охраны и коммунального хозяйства</t>
  </si>
  <si>
    <t>1.3.2.3</t>
  </si>
  <si>
    <t>Расходы на юридические и информационные услуги</t>
  </si>
  <si>
    <t>1.3.2.4</t>
  </si>
  <si>
    <t>Расходы на аудиторские и консультационные услуги</t>
  </si>
  <si>
    <t>1.3.2.5</t>
  </si>
  <si>
    <t>Транспортные услуги</t>
  </si>
  <si>
    <t>1.3.2.6</t>
  </si>
  <si>
    <t>Прочие услуги сторонних организаций</t>
  </si>
  <si>
    <t>1.3.3</t>
  </si>
  <si>
    <t>Расходы на командировки и представительские</t>
  </si>
  <si>
    <t>1.3.4</t>
  </si>
  <si>
    <t>Расходы на подготовку кадров</t>
  </si>
  <si>
    <t>1.3.5</t>
  </si>
  <si>
    <t>Расходы на обеспечение нормальных условий труда и мер по технике безопасности</t>
  </si>
  <si>
    <t>1.3.6</t>
  </si>
  <si>
    <t>расходы на страхование</t>
  </si>
  <si>
    <t>1.3.7</t>
  </si>
  <si>
    <t>Другие прочие подконтрольные расходы</t>
  </si>
  <si>
    <t>1.0</t>
  </si>
  <si>
    <t>ИТОГО подконтрольные расходы</t>
  </si>
  <si>
    <t>Расчёт неподконтрольных расходов</t>
  </si>
  <si>
    <t>2.1</t>
  </si>
  <si>
    <t>2.2</t>
  </si>
  <si>
    <t>Плата за аренду имущества и лизинг</t>
  </si>
  <si>
    <t>2.3</t>
  </si>
  <si>
    <t>Налоги, всего, в том числе:</t>
  </si>
  <si>
    <t>2.3.1</t>
  </si>
  <si>
    <t>Плата за землю</t>
  </si>
  <si>
    <t>2.3.2</t>
  </si>
  <si>
    <t>Налог на имущество</t>
  </si>
  <si>
    <t>2.3.3</t>
  </si>
  <si>
    <t>Прочие налоги и сборы</t>
  </si>
  <si>
    <t>2.4</t>
  </si>
  <si>
    <t>2.5</t>
  </si>
  <si>
    <t>Налог на прибыль</t>
  </si>
  <si>
    <t>2.6</t>
  </si>
  <si>
    <t>2.7</t>
  </si>
  <si>
    <t>Выпадающие доходы от льготного ТП</t>
  </si>
  <si>
    <t>2.8</t>
  </si>
  <si>
    <t>Другие прочие неподконтрольные расходы</t>
  </si>
  <si>
    <t>2.0</t>
  </si>
  <si>
    <t>ИТОГО неподконтрольных расходов</t>
  </si>
  <si>
    <t>СПРАВОЧНО</t>
  </si>
  <si>
    <t>Расходы, не входящие в операционные и неподконтрольные расходы</t>
  </si>
  <si>
    <t>Амортизация</t>
  </si>
  <si>
    <t>3.2</t>
  </si>
  <si>
    <t>Проценты за кредит</t>
  </si>
  <si>
    <t>3.3</t>
  </si>
  <si>
    <t>Прибыль на развитие</t>
  </si>
  <si>
    <t>3.4</t>
  </si>
  <si>
    <t>Возврат тела кредита</t>
  </si>
  <si>
    <t>3.5</t>
  </si>
  <si>
    <t>Дивиденды</t>
  </si>
  <si>
    <t>3.6</t>
  </si>
  <si>
    <t>Расходы социального характера из прибыли</t>
  </si>
  <si>
    <t>3.7</t>
  </si>
  <si>
    <t>ИТОГО расходов</t>
  </si>
  <si>
    <t>3.8</t>
  </si>
  <si>
    <t>НВВ, всего</t>
  </si>
  <si>
    <t>Расходы по судебным решениям</t>
  </si>
  <si>
    <t>Отчисления на социальные нужды</t>
  </si>
  <si>
    <t>Утверждено 2018 год</t>
  </si>
  <si>
    <t>ФАКТ 2017</t>
  </si>
  <si>
    <t>ПРОЕКТ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</si>
</sst>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00"/>
    <numFmt numFmtId="166" formatCode="0.000"/>
  </numFmts>
  <fonts count="19" x14ac:knownFonts="1">
    <font>
      <sz val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i/>
      <sz val="9"/>
      <color indexed="10"/>
      <name val="Calibri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horizontal="left"/>
    </xf>
    <xf numFmtId="49" fontId="3" fillId="0" borderId="0" applyBorder="0">
      <alignment vertical="top"/>
    </xf>
  </cellStyleXfs>
  <cellXfs count="63">
    <xf numFmtId="0" fontId="0" fillId="0" borderId="0" xfId="0">
      <alignment horizontal="left"/>
    </xf>
    <xf numFmtId="0" fontId="1" fillId="0" borderId="0" xfId="0" applyFont="1" applyAlignment="1"/>
    <xf numFmtId="0" fontId="0" fillId="0" borderId="0" xfId="0" applyAlignment="1"/>
    <xf numFmtId="4" fontId="1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4" fillId="2" borderId="1" xfId="1" applyNumberFormat="1" applyFont="1" applyFill="1" applyBorder="1" applyAlignment="1" applyProtection="1">
      <alignment horizontal="center" vertical="center" wrapText="1"/>
    </xf>
    <xf numFmtId="49" fontId="5" fillId="2" borderId="1" xfId="1" applyFont="1" applyFill="1" applyBorder="1" applyAlignment="1" applyProtection="1">
      <alignment horizontal="center" vertical="center" wrapText="1"/>
    </xf>
    <xf numFmtId="0" fontId="4" fillId="2" borderId="2" xfId="1" applyNumberFormat="1" applyFont="1" applyFill="1" applyBorder="1" applyAlignment="1" applyProtection="1">
      <alignment horizontal="centerContinuous" vertical="center" wrapText="1"/>
    </xf>
    <xf numFmtId="0" fontId="0" fillId="2" borderId="3" xfId="0" applyFill="1" applyBorder="1" applyAlignment="1">
      <alignment horizontal="centerContinuous" vertical="center" wrapText="1"/>
    </xf>
    <xf numFmtId="0" fontId="0" fillId="2" borderId="4" xfId="0" applyFill="1" applyBorder="1" applyAlignment="1">
      <alignment horizontal="centerContinuous" vertical="center" wrapText="1"/>
    </xf>
    <xf numFmtId="49" fontId="6" fillId="2" borderId="1" xfId="1" applyFont="1" applyFill="1" applyBorder="1" applyAlignment="1" applyProtection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left" vertical="center"/>
    </xf>
    <xf numFmtId="0" fontId="4" fillId="2" borderId="1" xfId="1" applyNumberFormat="1" applyFont="1" applyFill="1" applyBorder="1" applyAlignment="1" applyProtection="1">
      <alignment horizontal="left" vertical="center" wrapText="1"/>
    </xf>
    <xf numFmtId="0" fontId="4" fillId="0" borderId="2" xfId="1" applyNumberFormat="1" applyFont="1" applyFill="1" applyBorder="1" applyAlignment="1" applyProtection="1">
      <alignment horizontal="center" vertical="center" wrapText="1"/>
    </xf>
    <xf numFmtId="49" fontId="6" fillId="0" borderId="1" xfId="1" applyFont="1" applyFill="1" applyBorder="1" applyAlignment="1" applyProtection="1">
      <alignment horizontal="left" vertical="center" wrapText="1"/>
    </xf>
    <xf numFmtId="0" fontId="4" fillId="0" borderId="4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right" vertical="center" wrapText="1"/>
    </xf>
    <xf numFmtId="49" fontId="7" fillId="0" borderId="1" xfId="1" applyFont="1" applyFill="1" applyBorder="1" applyAlignment="1" applyProtection="1">
      <alignment horizontal="left" vertical="center" wrapText="1"/>
    </xf>
    <xf numFmtId="9" fontId="7" fillId="0" borderId="1" xfId="1" applyNumberFormat="1" applyFont="1" applyFill="1" applyBorder="1" applyAlignment="1" applyProtection="1">
      <alignment horizontal="right" vertical="center" wrapText="1"/>
    </xf>
    <xf numFmtId="4" fontId="6" fillId="0" borderId="1" xfId="1" applyNumberFormat="1" applyFont="1" applyFill="1" applyBorder="1" applyAlignment="1" applyProtection="1">
      <alignment horizontal="right" vertical="center" wrapText="1"/>
    </xf>
    <xf numFmtId="165" fontId="6" fillId="0" borderId="1" xfId="1" applyNumberFormat="1" applyFont="1" applyFill="1" applyBorder="1" applyAlignment="1" applyProtection="1">
      <alignment horizontal="right" vertical="center" wrapText="1"/>
    </xf>
    <xf numFmtId="4" fontId="7" fillId="0" borderId="1" xfId="1" applyNumberFormat="1" applyFont="1" applyFill="1" applyBorder="1" applyAlignment="1" applyProtection="1">
      <alignment horizontal="right" vertical="center" wrapText="1"/>
    </xf>
    <xf numFmtId="0" fontId="4" fillId="3" borderId="2" xfId="1" applyNumberFormat="1" applyFont="1" applyFill="1" applyBorder="1" applyAlignment="1" applyProtection="1">
      <alignment horizontal="center" vertical="center" wrapText="1"/>
    </xf>
    <xf numFmtId="49" fontId="6" fillId="3" borderId="1" xfId="1" applyFont="1" applyFill="1" applyBorder="1" applyAlignment="1" applyProtection="1">
      <alignment horizontal="left" vertical="center" wrapText="1"/>
    </xf>
    <xf numFmtId="0" fontId="4" fillId="3" borderId="4" xfId="1" applyNumberFormat="1" applyFont="1" applyFill="1" applyBorder="1" applyAlignment="1" applyProtection="1">
      <alignment horizontal="center" vertical="center" wrapText="1"/>
    </xf>
    <xf numFmtId="166" fontId="6" fillId="3" borderId="1" xfId="1" applyNumberFormat="1" applyFont="1" applyFill="1" applyBorder="1" applyAlignment="1" applyProtection="1">
      <alignment horizontal="right" vertical="center" wrapText="1"/>
    </xf>
    <xf numFmtId="0" fontId="4" fillId="0" borderId="3" xfId="1" applyNumberFormat="1" applyFont="1" applyFill="1" applyBorder="1" applyAlignment="1" applyProtection="1">
      <alignment horizontal="center" vertical="center" wrapText="1"/>
    </xf>
    <xf numFmtId="49" fontId="6" fillId="0" borderId="1" xfId="1" applyFont="1" applyFill="1" applyBorder="1" applyAlignment="1" applyProtection="1">
      <alignment horizontal="center" vertical="center" wrapText="1"/>
    </xf>
    <xf numFmtId="49" fontId="8" fillId="0" borderId="1" xfId="1" applyNumberFormat="1" applyFont="1" applyFill="1" applyBorder="1" applyAlignment="1" applyProtection="1">
      <alignment horizontal="center" vertical="center"/>
    </xf>
    <xf numFmtId="49" fontId="9" fillId="0" borderId="1" xfId="1" applyFont="1" applyFill="1" applyBorder="1" applyAlignment="1" applyProtection="1">
      <alignment vertical="center" wrapText="1"/>
    </xf>
    <xf numFmtId="49" fontId="9" fillId="0" borderId="1" xfId="1" applyFont="1" applyFill="1" applyBorder="1" applyAlignment="1" applyProtection="1">
      <alignment horizontal="center" vertical="center" wrapText="1"/>
    </xf>
    <xf numFmtId="4" fontId="10" fillId="0" borderId="1" xfId="0" applyNumberFormat="1" applyFont="1" applyBorder="1" applyAlignment="1"/>
    <xf numFmtId="49" fontId="11" fillId="0" borderId="1" xfId="1" applyNumberFormat="1" applyFont="1" applyFill="1" applyBorder="1" applyAlignment="1" applyProtection="1">
      <alignment horizontal="center" vertical="center"/>
    </xf>
    <xf numFmtId="49" fontId="12" fillId="0" borderId="1" xfId="1" applyFont="1" applyFill="1" applyBorder="1" applyAlignment="1" applyProtection="1">
      <alignment horizontal="left" vertical="center" wrapText="1"/>
    </xf>
    <xf numFmtId="49" fontId="12" fillId="0" borderId="1" xfId="1" applyFont="1" applyFill="1" applyBorder="1" applyAlignment="1" applyProtection="1">
      <alignment horizontal="center" vertical="center" wrapText="1"/>
    </xf>
    <xf numFmtId="4" fontId="13" fillId="0" borderId="1" xfId="0" applyNumberFormat="1" applyFont="1" applyBorder="1" applyAlignment="1">
      <alignment vertical="center"/>
    </xf>
    <xf numFmtId="49" fontId="12" fillId="0" borderId="1" xfId="1" applyFont="1" applyFill="1" applyBorder="1" applyAlignment="1" applyProtection="1">
      <alignment horizontal="left" vertical="center"/>
    </xf>
    <xf numFmtId="49" fontId="11" fillId="0" borderId="1" xfId="1" applyFont="1" applyFill="1" applyBorder="1" applyAlignment="1" applyProtection="1">
      <alignment horizontal="left" vertical="center" wrapText="1"/>
    </xf>
    <xf numFmtId="3" fontId="12" fillId="0" borderId="1" xfId="1" applyNumberFormat="1" applyFont="1" applyFill="1" applyBorder="1" applyAlignment="1" applyProtection="1">
      <alignment horizontal="left" vertical="center" wrapText="1"/>
    </xf>
    <xf numFmtId="49" fontId="4" fillId="3" borderId="1" xfId="1" applyNumberFormat="1" applyFont="1" applyFill="1" applyBorder="1" applyAlignment="1" applyProtection="1">
      <alignment horizontal="center" vertical="center"/>
    </xf>
    <xf numFmtId="49" fontId="6" fillId="3" borderId="1" xfId="1" applyFont="1" applyFill="1" applyBorder="1" applyAlignment="1" applyProtection="1">
      <alignment vertical="center" wrapText="1"/>
    </xf>
    <xf numFmtId="49" fontId="6" fillId="3" borderId="1" xfId="1" applyFont="1" applyFill="1" applyBorder="1" applyAlignment="1" applyProtection="1">
      <alignment horizontal="center" vertical="center" wrapText="1"/>
    </xf>
    <xf numFmtId="4" fontId="1" fillId="3" borderId="1" xfId="0" applyNumberFormat="1" applyFont="1" applyFill="1" applyBorder="1" applyAlignment="1"/>
    <xf numFmtId="0" fontId="14" fillId="2" borderId="2" xfId="0" applyFont="1" applyFill="1" applyBorder="1" applyAlignment="1">
      <alignment horizontal="centerContinuous"/>
    </xf>
    <xf numFmtId="0" fontId="14" fillId="2" borderId="3" xfId="0" applyFont="1" applyFill="1" applyBorder="1" applyAlignment="1">
      <alignment horizontal="centerContinuous"/>
    </xf>
    <xf numFmtId="0" fontId="14" fillId="2" borderId="4" xfId="0" applyFont="1" applyFill="1" applyBorder="1" applyAlignment="1">
      <alignment horizontal="centerContinuous"/>
    </xf>
    <xf numFmtId="0" fontId="0" fillId="2" borderId="1" xfId="0" applyFill="1" applyBorder="1" applyAlignment="1"/>
    <xf numFmtId="49" fontId="11" fillId="0" borderId="1" xfId="1" applyNumberFormat="1" applyFont="1" applyFill="1" applyBorder="1" applyAlignment="1" applyProtection="1">
      <alignment horizontal="center" vertical="center" wrapText="1"/>
    </xf>
    <xf numFmtId="4" fontId="13" fillId="0" borderId="1" xfId="0" applyNumberFormat="1" applyFont="1" applyBorder="1" applyAlignment="1"/>
    <xf numFmtId="49" fontId="12" fillId="0" borderId="1" xfId="1" applyFont="1" applyFill="1" applyBorder="1" applyAlignment="1" applyProtection="1">
      <alignment vertical="center" wrapText="1"/>
    </xf>
    <xf numFmtId="49" fontId="12" fillId="4" borderId="1" xfId="1" applyFont="1" applyFill="1" applyBorder="1" applyAlignment="1" applyProtection="1">
      <alignment horizontal="left" vertical="center" wrapText="1"/>
    </xf>
    <xf numFmtId="49" fontId="12" fillId="4" borderId="1" xfId="1" applyFont="1" applyFill="1" applyBorder="1" applyAlignment="1" applyProtection="1">
      <alignment vertical="center" wrapText="1"/>
    </xf>
    <xf numFmtId="0" fontId="15" fillId="2" borderId="1" xfId="0" applyFont="1" applyFill="1" applyBorder="1" applyAlignment="1"/>
    <xf numFmtId="49" fontId="11" fillId="0" borderId="1" xfId="1" applyFont="1" applyBorder="1" applyAlignment="1" applyProtection="1">
      <alignment horizontal="center" vertical="center"/>
    </xf>
    <xf numFmtId="49" fontId="4" fillId="3" borderId="1" xfId="1" applyFont="1" applyFill="1" applyBorder="1" applyAlignment="1" applyProtection="1">
      <alignment horizontal="center" vertical="center"/>
    </xf>
    <xf numFmtId="49" fontId="4" fillId="3" borderId="1" xfId="1" applyFont="1" applyFill="1" applyBorder="1" applyAlignment="1" applyProtection="1">
      <alignment vertical="center"/>
    </xf>
    <xf numFmtId="4" fontId="0" fillId="0" borderId="0" xfId="0" applyNumberFormat="1" applyAlignment="1"/>
    <xf numFmtId="4" fontId="13" fillId="5" borderId="1" xfId="0" applyNumberFormat="1" applyFont="1" applyFill="1" applyBorder="1" applyAlignment="1">
      <alignment vertical="center"/>
    </xf>
    <xf numFmtId="0" fontId="16" fillId="0" borderId="0" xfId="0" applyFont="1" applyAlignment="1"/>
    <xf numFmtId="2" fontId="0" fillId="0" borderId="0" xfId="0" applyNumberFormat="1" applyAlignment="1"/>
    <xf numFmtId="4" fontId="13" fillId="6" borderId="1" xfId="0" applyNumberFormat="1" applyFont="1" applyFill="1" applyBorder="1" applyAlignment="1">
      <alignment vertical="center"/>
    </xf>
    <xf numFmtId="0" fontId="17" fillId="0" borderId="0" xfId="0" applyFont="1" applyAlignment="1"/>
    <xf numFmtId="0" fontId="18" fillId="0" borderId="0" xfId="0" applyFont="1" applyAlignment="1"/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72;&#1088;&#1080;&#1092;%20&#1085;&#1072;%202019%20&#1075;&#1086;&#1076;/&#1054;&#1082;&#1086;&#1085;&#1095;&#1072;&#1090;&#1077;&#1083;&#1100;&#1085;&#1099;&#1081;%20&#1074;&#1072;&#1088;&#1080;&#1072;&#1085;&#1090;%20&#1085;&#1072;%202019%20&#1075;&#1086;&#1076;/&#1047;&#1072;&#1090;&#1088;&#1072;&#1090;&#1099;%20(&#1087;&#1077;&#1088;&#1077;&#1076;&#1072;&#1095;&#1072;%20&#1080;%20&#1089;&#1073;&#1099;&#1090;%20&#1101;&#1101;)%20%20&#1085;&#1072;%202019%20&#1075;%20&#1040;&#1054;%20&#1052;&#1069;&#105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72;&#1088;&#1080;&#1092;%20&#1085;&#1072;%202019%20&#1075;&#1086;&#1076;/&#1054;&#1082;&#1086;&#1085;&#1095;&#1072;&#1090;&#1077;&#1083;&#1100;&#1085;&#1099;&#1081;%20&#1074;&#1072;&#1088;&#1080;&#1072;&#1085;&#1090;%20&#1085;&#1072;%202019%20&#1075;&#1086;&#1076;/&#1052;&#1069;&#1057;%20&#1053;&#1042;&#1042;%20&#1085;&#1072;%202019%20&#1075;&#1086;&#1076;%20&#1088;&#1072;&#1073;&#1086;&#1095;&#1080;&#1081;%20&#1074;&#1072;&#1088;&#1080;&#1072;&#1085;&#1090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zareva.OAOMES\Desktop\&#1058;&#1072;&#1088;&#1080;&#1092;&#1099;%20&#1085;&#1072;%202019%20&#1075;&#1086;&#1076;\&#1058;&#1072;&#1088;&#1080;&#1092;%20&#1085;&#1072;%202019%20&#1075;&#1086;&#1076;\&#1054;&#1082;&#1086;&#1085;&#1095;&#1072;&#1090;&#1077;&#1083;&#1100;&#1085;&#1099;&#1081;%20&#1074;&#1072;&#1088;&#1080;&#1072;&#1085;&#1090;%20&#1085;&#1072;%202019%20&#1075;&#1086;&#1076;\&#1047;&#1072;&#1090;&#1088;&#1072;&#1090;&#1099;%20(&#1087;&#1077;&#1088;&#1077;&#1076;&#1072;&#1095;&#1072;%20&#1080;%20&#1089;&#1073;&#1099;&#1090;%20&#1101;&#1101;)%20%20&#1085;&#1072;%202019%20&#1075;%20&#1040;&#1054;%20&#1052;&#1069;&#1057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69;&#1054;/&#1058;&#1072;&#1088;&#1080;&#1092;&#1099;%20&#1085;&#1072;%202019%20&#1075;&#1086;&#1076;/&#1058;&#1072;&#1088;&#1080;&#1092;%202019%20&#1075;&#1086;&#1076;/&#1044;&#1083;&#1103;%20&#1044;&#1062;&#1080;&#1058;%20&#1074;%20&#1101;&#1083;.&#1074;&#1080;&#1076;&#1077;%202019/&#1052;&#1069;&#1057;%20&#1053;&#1042;&#1042;%20&#1085;&#1072;%202019%20&#1075;&#1086;&#1076;%20&#1088;&#1072;&#1073;&#1086;&#1095;&#1080;&#1081;%20&#1074;&#1072;&#1088;&#1080;&#1072;&#1085;&#1090;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69;&#1054;/&#1058;&#1072;&#1088;&#1080;&#1092;&#1099;%20&#1085;&#1072;%202019%20&#1075;&#1086;&#1076;/&#1058;&#1072;&#1088;&#1080;&#1092;%202019%20&#1075;&#1086;&#1076;/&#1044;&#1083;&#1103;%20&#1044;&#1062;&#1080;&#1058;%20&#1074;%20&#1101;&#1083;.&#1074;&#1080;&#1076;&#1077;%202019/&#1047;&#1072;&#1090;&#1088;&#1072;&#1090;&#1099;%20(&#1087;&#1077;&#1088;&#1077;&#1076;&#1072;&#1095;&#1072;%20&#1080;%20&#1089;&#1073;&#1099;&#1090;%20&#1101;&#1101;)%20%20&#1085;&#1072;%202019%20&#1075;%20&#1040;&#1054;%20&#1052;&#1069;&#10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электро"/>
      <sheetName val="1_1_1_"/>
      <sheetName val="1_1_2_"/>
      <sheetName val="1_2_1"/>
      <sheetName val="1_2_2_"/>
      <sheetName val="1_3_"/>
      <sheetName val="1_4_"/>
      <sheetName val="1_5_"/>
      <sheetName val="1_6_"/>
      <sheetName val="1_12_"/>
      <sheetName val="расчет покупной"/>
      <sheetName val="1_15_"/>
      <sheetName val="1_16_"/>
      <sheetName val="1_17_"/>
      <sheetName val="1_18_"/>
      <sheetName val="1_17_1_"/>
      <sheetName val="1_18_2_"/>
      <sheetName val="1_20_"/>
      <sheetName val="1_20_3"/>
      <sheetName val="1_21_"/>
      <sheetName val="1_21_3_"/>
      <sheetName val="1_22_"/>
      <sheetName val="1_23_"/>
      <sheetName val="1_24_"/>
      <sheetName val="1_25_"/>
      <sheetName val="1_26_"/>
      <sheetName val="1_27_"/>
      <sheetName val="1_27_пр_"/>
      <sheetName val="1_29_"/>
      <sheetName val="у_е_"/>
      <sheetName val="2_1_"/>
      <sheetName val="2_2_"/>
      <sheetName val="Лист1"/>
    </sheetNames>
    <sheetDataSet>
      <sheetData sheetId="0">
        <row r="7">
          <cell r="AG7">
            <v>34606.800000000003</v>
          </cell>
        </row>
        <row r="10">
          <cell r="K10">
            <v>3941.41</v>
          </cell>
          <cell r="AG10">
            <v>6998.46</v>
          </cell>
        </row>
        <row r="21">
          <cell r="AG21">
            <v>290679.43</v>
          </cell>
        </row>
        <row r="27">
          <cell r="AG27">
            <v>83308.186052045043</v>
          </cell>
        </row>
        <row r="29">
          <cell r="AG29">
            <v>31300</v>
          </cell>
        </row>
        <row r="32">
          <cell r="AG32">
            <v>866.56960000000004</v>
          </cell>
        </row>
        <row r="37">
          <cell r="K37">
            <v>4392.0680000000002</v>
          </cell>
        </row>
        <row r="58">
          <cell r="AG58">
            <v>880</v>
          </cell>
        </row>
        <row r="59">
          <cell r="K59">
            <v>4004.0060600000006</v>
          </cell>
        </row>
        <row r="62">
          <cell r="K62">
            <v>20978.2071</v>
          </cell>
          <cell r="AG62">
            <v>20592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 услуг произ харак"/>
      <sheetName val="строка9_8"/>
      <sheetName val="Другие платежи из приб"/>
      <sheetName val="Энергия подроб"/>
      <sheetName val="ФП подроб 2015"/>
      <sheetName val="налоги"/>
      <sheetName val="Необх прибыль"/>
      <sheetName val="Расчет НВВ на 2019 АО МЭС"/>
      <sheetName val="Лист1"/>
      <sheetName val="Лист2"/>
    </sheetNames>
    <sheetDataSet>
      <sheetData sheetId="0"/>
      <sheetData sheetId="1">
        <row r="10">
          <cell r="L10">
            <v>1026.52</v>
          </cell>
          <cell r="O10">
            <v>447.6070402285352</v>
          </cell>
          <cell r="U10">
            <v>1439.32</v>
          </cell>
        </row>
        <row r="14">
          <cell r="L14">
            <v>440.54</v>
          </cell>
          <cell r="O14">
            <v>207.68792947051378</v>
          </cell>
          <cell r="U14">
            <v>364.41</v>
          </cell>
        </row>
        <row r="15">
          <cell r="L15">
            <v>228.2</v>
          </cell>
          <cell r="O15">
            <v>166.58464245805212</v>
          </cell>
          <cell r="U15">
            <v>240.2</v>
          </cell>
        </row>
        <row r="17">
          <cell r="O17">
            <v>5714.1262241796476</v>
          </cell>
          <cell r="U17">
            <v>11253.03</v>
          </cell>
        </row>
        <row r="22">
          <cell r="L22">
            <v>198.76</v>
          </cell>
          <cell r="O22">
            <v>153.65494432462268</v>
          </cell>
          <cell r="U22">
            <v>477.86</v>
          </cell>
        </row>
        <row r="24">
          <cell r="L24">
            <v>430.75</v>
          </cell>
          <cell r="O24">
            <v>245.52777060092944</v>
          </cell>
          <cell r="U24">
            <v>3924.4189999999999</v>
          </cell>
        </row>
        <row r="25">
          <cell r="L25">
            <v>437.49</v>
          </cell>
          <cell r="O25">
            <v>216.9819255376334</v>
          </cell>
          <cell r="U25">
            <v>360.75900000000001</v>
          </cell>
        </row>
        <row r="27">
          <cell r="L27">
            <v>667.70999999999992</v>
          </cell>
          <cell r="O27">
            <v>437.97801359557809</v>
          </cell>
          <cell r="U27">
            <v>742.07</v>
          </cell>
        </row>
        <row r="33">
          <cell r="L33">
            <v>159.7457</v>
          </cell>
          <cell r="O33">
            <v>114.59286205587421</v>
          </cell>
          <cell r="U33">
            <v>187.03952799999999</v>
          </cell>
        </row>
        <row r="40">
          <cell r="O40">
            <v>868.51090350588015</v>
          </cell>
          <cell r="U40">
            <v>1360.270817472305</v>
          </cell>
        </row>
        <row r="48">
          <cell r="O48">
            <v>1366.3725286100289</v>
          </cell>
          <cell r="U48">
            <v>2826.6264000000001</v>
          </cell>
        </row>
      </sheetData>
      <sheetData sheetId="2"/>
      <sheetData sheetId="3"/>
      <sheetData sheetId="4"/>
      <sheetData sheetId="5">
        <row r="12">
          <cell r="L12">
            <v>200.81829999999999</v>
          </cell>
          <cell r="O12">
            <v>200.82</v>
          </cell>
        </row>
        <row r="13">
          <cell r="L13">
            <v>560.76193999999998</v>
          </cell>
          <cell r="O13">
            <v>526.89</v>
          </cell>
        </row>
        <row r="14">
          <cell r="L14">
            <v>17.158000000000001</v>
          </cell>
          <cell r="O14">
            <v>17.190000000000001</v>
          </cell>
        </row>
        <row r="15">
          <cell r="L15">
            <v>3613.326</v>
          </cell>
          <cell r="O15">
            <v>7262.67</v>
          </cell>
        </row>
      </sheetData>
      <sheetData sheetId="6"/>
      <sheetData sheetId="7">
        <row r="61">
          <cell r="BP61">
            <v>559452.35283989762</v>
          </cell>
        </row>
      </sheetData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электро"/>
      <sheetName val="1_1_1_"/>
      <sheetName val="1_1_2_"/>
      <sheetName val="1_2_1"/>
      <sheetName val="1_2_2_"/>
      <sheetName val="1_3_"/>
      <sheetName val="1_4_"/>
      <sheetName val="1_5_"/>
      <sheetName val="1_6_"/>
      <sheetName val="1_12_"/>
      <sheetName val="расчет покупной"/>
      <sheetName val="1_15_"/>
      <sheetName val="1_16_"/>
      <sheetName val="1_17_"/>
      <sheetName val="1_18_"/>
      <sheetName val="1_17_1_"/>
      <sheetName val="1_18_2_"/>
      <sheetName val="1_20_"/>
      <sheetName val="1_20_3"/>
      <sheetName val="1_21_"/>
      <sheetName val="1_21_3_"/>
      <sheetName val="1_22_"/>
      <sheetName val="1_23_"/>
      <sheetName val="1_24_"/>
      <sheetName val="1_25_"/>
      <sheetName val="1_26_"/>
      <sheetName val="1_27_"/>
      <sheetName val="1_27_пр_"/>
      <sheetName val="1_29_"/>
      <sheetName val="у_е_"/>
      <sheetName val="2_1_"/>
      <sheetName val="2_2_"/>
      <sheetName val="Лист1"/>
    </sheetNames>
    <sheetDataSet>
      <sheetData sheetId="0">
        <row r="7">
          <cell r="AG7">
            <v>35011.800000000003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 услуг произ харак"/>
      <sheetName val="строка9_8"/>
      <sheetName val="Другие платежи из приб"/>
      <sheetName val="Энергия подроб"/>
      <sheetName val="ФП подроб 2015"/>
      <sheetName val="налоги"/>
      <sheetName val="Необх прибыль"/>
      <sheetName val="Расчет НВВ на 2019 АО МЭС"/>
      <sheetName val="Лист1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8">
          <cell r="AK38">
            <v>3029.1147040000005</v>
          </cell>
        </row>
      </sheetData>
      <sheetData sheetId="5" refreshError="1"/>
      <sheetData sheetId="6" refreshError="1"/>
      <sheetData sheetId="7">
        <row r="14">
          <cell r="BP14">
            <v>290679.43000000005</v>
          </cell>
        </row>
        <row r="61">
          <cell r="BP61">
            <v>559866.95541376993</v>
          </cell>
        </row>
      </sheetData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электро"/>
      <sheetName val="1_1_1_"/>
      <sheetName val="1_1_2_"/>
      <sheetName val="1_2_1"/>
      <sheetName val="1_2_2_"/>
      <sheetName val="1_3_"/>
      <sheetName val="1_4_"/>
      <sheetName val="1_5_"/>
      <sheetName val="1_6_"/>
      <sheetName val="1_12_"/>
      <sheetName val="расчет покупной"/>
      <sheetName val="1_15_"/>
      <sheetName val="1_16_"/>
      <sheetName val="1_17_"/>
      <sheetName val="1_18_"/>
      <sheetName val="1_17_1_"/>
      <sheetName val="1_18_2_"/>
      <sheetName val="1_20_"/>
      <sheetName val="1_20_3"/>
      <sheetName val="1_21_"/>
      <sheetName val="1_21_3_"/>
      <sheetName val="1_22_"/>
      <sheetName val="1_23_"/>
      <sheetName val="1_24_"/>
      <sheetName val="1_25_"/>
      <sheetName val="1_26_"/>
      <sheetName val="1_27_"/>
      <sheetName val="1_27_пр_"/>
      <sheetName val="1_29_"/>
      <sheetName val="у_е_"/>
      <sheetName val="2_1_"/>
      <sheetName val="2_2_"/>
      <sheetName val="Лист1"/>
    </sheetNames>
    <sheetDataSet>
      <sheetData sheetId="0">
        <row r="21">
          <cell r="AG21">
            <v>290679.43</v>
          </cell>
        </row>
        <row r="27">
          <cell r="AG27">
            <v>83308.189963877041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workbookViewId="0">
      <selection activeCell="H57" sqref="H57"/>
    </sheetView>
  </sheetViews>
  <sheetFormatPr defaultRowHeight="11.25" x14ac:dyDescent="0.2"/>
  <cols>
    <col min="1" max="1" width="7.83203125" style="2" customWidth="1"/>
    <col min="2" max="2" width="75" style="2" customWidth="1"/>
    <col min="3" max="3" width="11.83203125" style="2" customWidth="1"/>
    <col min="4" max="4" width="19" style="2" hidden="1" customWidth="1"/>
    <col min="5" max="5" width="19" style="2" customWidth="1"/>
    <col min="6" max="7" width="9.33203125" style="2"/>
    <col min="8" max="8" width="9.6640625" style="2" bestFit="1" customWidth="1"/>
    <col min="9" max="9" width="9.33203125" style="2"/>
    <col min="10" max="10" width="15.1640625" style="2" customWidth="1"/>
    <col min="11" max="16384" width="9.33203125" style="2"/>
  </cols>
  <sheetData>
    <row r="1" spans="1:5" ht="15.75" x14ac:dyDescent="0.25">
      <c r="A1" s="1"/>
      <c r="B1" s="61" t="s">
        <v>99</v>
      </c>
    </row>
    <row r="2" spans="1:5" ht="15" hidden="1" x14ac:dyDescent="0.2">
      <c r="D2" s="3"/>
      <c r="E2" s="4"/>
    </row>
    <row r="3" spans="1:5" ht="25.5" hidden="1" x14ac:dyDescent="0.2">
      <c r="A3" s="5" t="s">
        <v>0</v>
      </c>
      <c r="B3" s="5" t="s">
        <v>1</v>
      </c>
      <c r="C3" s="5" t="s">
        <v>2</v>
      </c>
      <c r="D3" s="6" t="s">
        <v>3</v>
      </c>
      <c r="E3" s="6" t="s">
        <v>4</v>
      </c>
    </row>
    <row r="4" spans="1:5" hidden="1" x14ac:dyDescent="0.2">
      <c r="A4" s="7">
        <v>1</v>
      </c>
      <c r="B4" s="8"/>
      <c r="C4" s="9"/>
      <c r="D4" s="10" t="s">
        <v>5</v>
      </c>
      <c r="E4" s="10" t="s">
        <v>6</v>
      </c>
    </row>
    <row r="5" spans="1:5" hidden="1" x14ac:dyDescent="0.2">
      <c r="A5" s="11" t="s">
        <v>7</v>
      </c>
      <c r="B5" s="12"/>
      <c r="C5" s="12"/>
      <c r="D5" s="10"/>
      <c r="E5" s="10" t="s">
        <v>8</v>
      </c>
    </row>
    <row r="6" spans="1:5" hidden="1" x14ac:dyDescent="0.2">
      <c r="A6" s="13"/>
      <c r="B6" s="14" t="s">
        <v>9</v>
      </c>
      <c r="C6" s="15" t="s">
        <v>10</v>
      </c>
      <c r="D6" s="16">
        <v>6.7000000000000004E-2</v>
      </c>
      <c r="E6" s="16">
        <v>6.7000000000000004E-2</v>
      </c>
    </row>
    <row r="7" spans="1:5" hidden="1" x14ac:dyDescent="0.2">
      <c r="A7" s="13"/>
      <c r="B7" s="17" t="s">
        <v>11</v>
      </c>
      <c r="C7" s="15" t="s">
        <v>10</v>
      </c>
      <c r="D7" s="18">
        <v>0.01</v>
      </c>
      <c r="E7" s="18">
        <v>0.01</v>
      </c>
    </row>
    <row r="8" spans="1:5" hidden="1" x14ac:dyDescent="0.2">
      <c r="A8" s="13"/>
      <c r="B8" s="14" t="s">
        <v>12</v>
      </c>
      <c r="C8" s="15" t="s">
        <v>13</v>
      </c>
      <c r="D8" s="19">
        <v>14182.9</v>
      </c>
      <c r="E8" s="19">
        <v>14182.9</v>
      </c>
    </row>
    <row r="9" spans="1:5" hidden="1" x14ac:dyDescent="0.2">
      <c r="A9" s="13"/>
      <c r="B9" s="14" t="s">
        <v>14</v>
      </c>
      <c r="C9" s="15" t="s">
        <v>10</v>
      </c>
      <c r="D9" s="20"/>
      <c r="E9" s="20"/>
    </row>
    <row r="10" spans="1:5" hidden="1" x14ac:dyDescent="0.2">
      <c r="A10" s="13"/>
      <c r="B10" s="17" t="s">
        <v>15</v>
      </c>
      <c r="C10" s="15"/>
      <c r="D10" s="21">
        <v>0.75</v>
      </c>
      <c r="E10" s="21">
        <v>0.75</v>
      </c>
    </row>
    <row r="11" spans="1:5" hidden="1" x14ac:dyDescent="0.2">
      <c r="A11" s="22"/>
      <c r="B11" s="23" t="s">
        <v>16</v>
      </c>
      <c r="C11" s="24"/>
      <c r="D11" s="25">
        <f>(1+D6)*(1-D7)*(1+D9*D10)</f>
        <v>1.05633</v>
      </c>
      <c r="E11" s="25">
        <f>(1+E6)*(1-E7)*(1+E9*E10)</f>
        <v>1.05633</v>
      </c>
    </row>
    <row r="12" spans="1:5" hidden="1" x14ac:dyDescent="0.2">
      <c r="A12" s="13"/>
      <c r="B12" s="26"/>
      <c r="C12" s="15"/>
      <c r="D12" s="27"/>
      <c r="E12" s="27"/>
    </row>
    <row r="13" spans="1:5" x14ac:dyDescent="0.2">
      <c r="A13" s="7" t="s">
        <v>17</v>
      </c>
      <c r="B13" s="8"/>
      <c r="C13" s="9"/>
      <c r="D13" s="10"/>
      <c r="E13" s="10"/>
    </row>
    <row r="14" spans="1:5" ht="12.75" x14ac:dyDescent="0.2">
      <c r="A14" s="28" t="s">
        <v>18</v>
      </c>
      <c r="B14" s="29" t="s">
        <v>19</v>
      </c>
      <c r="C14" s="30" t="s">
        <v>20</v>
      </c>
      <c r="D14" s="31">
        <f>SUM(D15:D16)</f>
        <v>60958.556155019403</v>
      </c>
      <c r="E14" s="31">
        <f>SUM(E15:E16)</f>
        <v>29218.914141677498</v>
      </c>
    </row>
    <row r="15" spans="1:5" ht="12.75" x14ac:dyDescent="0.2">
      <c r="A15" s="32" t="s">
        <v>21</v>
      </c>
      <c r="B15" s="33" t="s">
        <v>22</v>
      </c>
      <c r="C15" s="34" t="s">
        <v>20</v>
      </c>
      <c r="D15" s="35">
        <v>43218.403273384502</v>
      </c>
      <c r="E15" s="35">
        <v>25277.504141677498</v>
      </c>
    </row>
    <row r="16" spans="1:5" ht="24" x14ac:dyDescent="0.2">
      <c r="A16" s="32" t="s">
        <v>23</v>
      </c>
      <c r="B16" s="33" t="s">
        <v>24</v>
      </c>
      <c r="C16" s="34" t="s">
        <v>20</v>
      </c>
      <c r="D16" s="35">
        <v>17740.152881634902</v>
      </c>
      <c r="E16" s="35">
        <f>[1]свод!$K$10</f>
        <v>3941.41</v>
      </c>
    </row>
    <row r="17" spans="1:5" ht="12.75" x14ac:dyDescent="0.2">
      <c r="A17" s="28" t="s">
        <v>25</v>
      </c>
      <c r="B17" s="29" t="s">
        <v>26</v>
      </c>
      <c r="C17" s="30" t="s">
        <v>20</v>
      </c>
      <c r="D17" s="31">
        <v>242395.07962014023</v>
      </c>
      <c r="E17" s="31">
        <v>256435</v>
      </c>
    </row>
    <row r="18" spans="1:5" ht="12.75" x14ac:dyDescent="0.2">
      <c r="A18" s="28"/>
      <c r="B18" s="29" t="s">
        <v>97</v>
      </c>
      <c r="C18" s="30"/>
      <c r="D18" s="31"/>
      <c r="E18" s="31">
        <v>69223.659119999968</v>
      </c>
    </row>
    <row r="19" spans="1:5" ht="12.75" x14ac:dyDescent="0.2">
      <c r="A19" s="28" t="s">
        <v>27</v>
      </c>
      <c r="B19" s="29" t="s">
        <v>28</v>
      </c>
      <c r="C19" s="30" t="s">
        <v>20</v>
      </c>
      <c r="D19" s="31">
        <f>SUM(D20:D21,D28:D32)</f>
        <v>47391.012040326925</v>
      </c>
      <c r="E19" s="31">
        <f>SUM(E20:E21,E28:E32)</f>
        <v>50109.681490000003</v>
      </c>
    </row>
    <row r="20" spans="1:5" ht="12.75" x14ac:dyDescent="0.2">
      <c r="A20" s="32" t="s">
        <v>29</v>
      </c>
      <c r="B20" s="36" t="s">
        <v>30</v>
      </c>
      <c r="C20" s="34" t="s">
        <v>20</v>
      </c>
      <c r="D20" s="35">
        <v>4993.4655040954685</v>
      </c>
      <c r="E20" s="35"/>
    </row>
    <row r="21" spans="1:5" ht="12.75" x14ac:dyDescent="0.2">
      <c r="A21" s="32" t="s">
        <v>31</v>
      </c>
      <c r="B21" s="37" t="s">
        <v>32</v>
      </c>
      <c r="C21" s="34" t="s">
        <v>20</v>
      </c>
      <c r="D21" s="35">
        <f>SUM(D22:D27)</f>
        <v>22678.527117374721</v>
      </c>
      <c r="E21" s="35">
        <f>SUM(E22:E27)</f>
        <v>28538.928230000001</v>
      </c>
    </row>
    <row r="22" spans="1:5" ht="12.75" x14ac:dyDescent="0.2">
      <c r="A22" s="32" t="s">
        <v>33</v>
      </c>
      <c r="B22" s="33" t="s">
        <v>34</v>
      </c>
      <c r="C22" s="34" t="s">
        <v>20</v>
      </c>
      <c r="D22" s="35">
        <v>1707.8521437093484</v>
      </c>
      <c r="E22" s="35">
        <v>1320.93595</v>
      </c>
    </row>
    <row r="23" spans="1:5" ht="12.75" x14ac:dyDescent="0.2">
      <c r="A23" s="32" t="s">
        <v>35</v>
      </c>
      <c r="B23" s="33" t="s">
        <v>36</v>
      </c>
      <c r="C23" s="34" t="s">
        <v>20</v>
      </c>
      <c r="D23" s="35">
        <v>9510.3233197553509</v>
      </c>
      <c r="E23" s="35">
        <v>9735.9600000000009</v>
      </c>
    </row>
    <row r="24" spans="1:5" ht="12.75" x14ac:dyDescent="0.2">
      <c r="A24" s="32" t="s">
        <v>37</v>
      </c>
      <c r="B24" s="33" t="s">
        <v>38</v>
      </c>
      <c r="C24" s="34" t="s">
        <v>20</v>
      </c>
      <c r="D24" s="35">
        <v>1110.939181558781</v>
      </c>
      <c r="E24" s="35">
        <f>[2]строка9_8!$L$27</f>
        <v>667.70999999999992</v>
      </c>
    </row>
    <row r="25" spans="1:5" ht="12.75" x14ac:dyDescent="0.2">
      <c r="A25" s="32" t="s">
        <v>39</v>
      </c>
      <c r="B25" s="33" t="s">
        <v>40</v>
      </c>
      <c r="C25" s="34" t="s">
        <v>20</v>
      </c>
      <c r="D25" s="35">
        <v>533.53807492968895</v>
      </c>
      <c r="E25" s="35">
        <f>[2]строка9_8!$L$14</f>
        <v>440.54</v>
      </c>
    </row>
    <row r="26" spans="1:5" ht="12.75" x14ac:dyDescent="0.2">
      <c r="A26" s="32" t="s">
        <v>41</v>
      </c>
      <c r="B26" s="33" t="s">
        <v>42</v>
      </c>
      <c r="C26" s="34" t="s">
        <v>20</v>
      </c>
      <c r="D26" s="35">
        <v>724.93499042583812</v>
      </c>
      <c r="E26" s="35">
        <v>2726.6122799999998</v>
      </c>
    </row>
    <row r="27" spans="1:5" ht="12.75" x14ac:dyDescent="0.2">
      <c r="A27" s="32" t="s">
        <v>43</v>
      </c>
      <c r="B27" s="38" t="s">
        <v>44</v>
      </c>
      <c r="C27" s="34" t="s">
        <v>20</v>
      </c>
      <c r="D27" s="35">
        <v>9090.9394069957143</v>
      </c>
      <c r="E27" s="60">
        <v>13647.17</v>
      </c>
    </row>
    <row r="28" spans="1:5" ht="12.75" x14ac:dyDescent="0.2">
      <c r="A28" s="32" t="s">
        <v>45</v>
      </c>
      <c r="B28" s="33" t="s">
        <v>46</v>
      </c>
      <c r="C28" s="34" t="s">
        <v>20</v>
      </c>
      <c r="D28" s="35">
        <v>1057.0170214186908</v>
      </c>
      <c r="E28" s="35">
        <f>[2]строка9_8!$L$10</f>
        <v>1026.52</v>
      </c>
    </row>
    <row r="29" spans="1:5" ht="12.75" x14ac:dyDescent="0.2">
      <c r="A29" s="32" t="s">
        <v>47</v>
      </c>
      <c r="B29" s="33" t="s">
        <v>48</v>
      </c>
      <c r="C29" s="34" t="s">
        <v>20</v>
      </c>
      <c r="D29" s="35">
        <v>37.347189636168501</v>
      </c>
      <c r="E29" s="35">
        <f>[2]строка9_8!$L$15</f>
        <v>228.2</v>
      </c>
    </row>
    <row r="30" spans="1:5" ht="12.75" x14ac:dyDescent="0.2">
      <c r="A30" s="32" t="s">
        <v>49</v>
      </c>
      <c r="B30" s="33" t="s">
        <v>50</v>
      </c>
      <c r="C30" s="34" t="s">
        <v>20</v>
      </c>
      <c r="D30" s="35">
        <v>2153.0934245485605</v>
      </c>
      <c r="E30" s="35">
        <f>[2]строка9_8!$L$22+[2]строка9_8!$L$24+[2]строка9_8!$L$25+[2]строка9_8!$L$33</f>
        <v>1226.7456999999999</v>
      </c>
    </row>
    <row r="31" spans="1:5" ht="12.75" x14ac:dyDescent="0.2">
      <c r="A31" s="32" t="s">
        <v>51</v>
      </c>
      <c r="B31" s="33" t="s">
        <v>52</v>
      </c>
      <c r="C31" s="34" t="s">
        <v>20</v>
      </c>
      <c r="D31" s="35">
        <v>10281.249691751613</v>
      </c>
      <c r="E31" s="35">
        <v>840.13755999999989</v>
      </c>
    </row>
    <row r="32" spans="1:5" ht="12.75" x14ac:dyDescent="0.2">
      <c r="A32" s="32" t="s">
        <v>53</v>
      </c>
      <c r="B32" s="33" t="s">
        <v>54</v>
      </c>
      <c r="C32" s="34" t="s">
        <v>20</v>
      </c>
      <c r="D32" s="35">
        <f>4533.31209150171+1657</f>
        <v>6190.3120915017098</v>
      </c>
      <c r="E32" s="35">
        <f>9779.67+22169.04-12309.46-1146.4-76.56-382.61+1475.18-1259.71</f>
        <v>18249.149999999998</v>
      </c>
    </row>
    <row r="33" spans="1:5" ht="15" x14ac:dyDescent="0.25">
      <c r="A33" s="39" t="s">
        <v>55</v>
      </c>
      <c r="B33" s="40" t="s">
        <v>56</v>
      </c>
      <c r="C33" s="41" t="s">
        <v>20</v>
      </c>
      <c r="D33" s="42">
        <f>SUM(D14,D17:D19)</f>
        <v>350744.64781548653</v>
      </c>
      <c r="E33" s="42">
        <f>E14+E17+E18+E19</f>
        <v>404987.25475167745</v>
      </c>
    </row>
    <row r="35" spans="1:5" ht="11.25" customHeight="1" x14ac:dyDescent="0.2">
      <c r="A35" s="43" t="s">
        <v>57</v>
      </c>
      <c r="B35" s="44"/>
      <c r="C35" s="45"/>
      <c r="D35" s="46"/>
      <c r="E35" s="46"/>
    </row>
    <row r="36" spans="1:5" ht="12.75" x14ac:dyDescent="0.2">
      <c r="A36" s="47" t="s">
        <v>58</v>
      </c>
      <c r="B36" s="33"/>
      <c r="C36" s="34" t="s">
        <v>20</v>
      </c>
      <c r="D36" s="48">
        <v>4700.78</v>
      </c>
      <c r="E36" s="48"/>
    </row>
    <row r="37" spans="1:5" ht="12.75" x14ac:dyDescent="0.2">
      <c r="A37" s="47" t="s">
        <v>59</v>
      </c>
      <c r="B37" s="49" t="s">
        <v>60</v>
      </c>
      <c r="C37" s="34" t="s">
        <v>20</v>
      </c>
      <c r="D37" s="48">
        <v>103034.03947255079</v>
      </c>
      <c r="E37" s="48">
        <v>18993.520369999998</v>
      </c>
    </row>
    <row r="38" spans="1:5" ht="12.75" x14ac:dyDescent="0.2">
      <c r="A38" s="47" t="s">
        <v>61</v>
      </c>
      <c r="B38" s="49" t="s">
        <v>62</v>
      </c>
      <c r="C38" s="34" t="s">
        <v>20</v>
      </c>
      <c r="D38" s="48">
        <f>SUM(D39:D41)</f>
        <v>24764.345000000001</v>
      </c>
      <c r="E38" s="48">
        <f>[1]свод!$K$37</f>
        <v>4392.0680000000002</v>
      </c>
    </row>
    <row r="39" spans="1:5" ht="12.75" x14ac:dyDescent="0.2">
      <c r="A39" s="32" t="s">
        <v>63</v>
      </c>
      <c r="B39" s="33" t="s">
        <v>64</v>
      </c>
      <c r="C39" s="34" t="s">
        <v>20</v>
      </c>
      <c r="D39" s="48">
        <v>527.08000000000004</v>
      </c>
      <c r="E39" s="48">
        <f>[2]налоги!$L$13</f>
        <v>560.76193999999998</v>
      </c>
    </row>
    <row r="40" spans="1:5" ht="12.75" x14ac:dyDescent="0.2">
      <c r="A40" s="32" t="s">
        <v>65</v>
      </c>
      <c r="B40" s="50" t="s">
        <v>66</v>
      </c>
      <c r="C40" s="34" t="s">
        <v>20</v>
      </c>
      <c r="D40" s="48">
        <v>23750.965</v>
      </c>
      <c r="E40" s="48">
        <f>[2]налоги!$L$15</f>
        <v>3613.326</v>
      </c>
    </row>
    <row r="41" spans="1:5" ht="12.75" x14ac:dyDescent="0.2">
      <c r="A41" s="32" t="s">
        <v>67</v>
      </c>
      <c r="B41" s="50" t="s">
        <v>68</v>
      </c>
      <c r="C41" s="34" t="s">
        <v>20</v>
      </c>
      <c r="D41" s="48">
        <v>486.29999999999995</v>
      </c>
      <c r="E41" s="48">
        <f>[2]налоги!$L$12+[2]налоги!$L$14</f>
        <v>217.97629999999998</v>
      </c>
    </row>
    <row r="42" spans="1:5" ht="12.75" x14ac:dyDescent="0.2">
      <c r="A42" s="32" t="s">
        <v>69</v>
      </c>
      <c r="B42" s="51" t="s">
        <v>81</v>
      </c>
      <c r="C42" s="34" t="s">
        <v>20</v>
      </c>
      <c r="D42" s="35">
        <v>71834.820000000007</v>
      </c>
      <c r="E42" s="35">
        <v>29371.054550000001</v>
      </c>
    </row>
    <row r="43" spans="1:5" ht="12.75" hidden="1" x14ac:dyDescent="0.2">
      <c r="A43" s="32" t="s">
        <v>70</v>
      </c>
      <c r="B43" s="51" t="s">
        <v>71</v>
      </c>
      <c r="C43" s="34" t="s">
        <v>20</v>
      </c>
      <c r="D43" s="48">
        <f>81727.47</f>
        <v>81727.47</v>
      </c>
      <c r="E43" s="48"/>
    </row>
    <row r="44" spans="1:5" ht="12.75" hidden="1" x14ac:dyDescent="0.2">
      <c r="A44" s="32" t="s">
        <v>72</v>
      </c>
      <c r="B44" s="51" t="s">
        <v>96</v>
      </c>
      <c r="C44" s="34" t="s">
        <v>20</v>
      </c>
      <c r="D44" s="48"/>
      <c r="E44" s="48"/>
    </row>
    <row r="45" spans="1:5" ht="12.75" hidden="1" x14ac:dyDescent="0.2">
      <c r="A45" s="32" t="s">
        <v>73</v>
      </c>
      <c r="B45" s="51" t="s">
        <v>74</v>
      </c>
      <c r="C45" s="34" t="s">
        <v>20</v>
      </c>
      <c r="D45" s="48">
        <v>3095.2</v>
      </c>
      <c r="E45" s="48"/>
    </row>
    <row r="46" spans="1:5" ht="12.75" hidden="1" x14ac:dyDescent="0.2">
      <c r="A46" s="32" t="s">
        <v>75</v>
      </c>
      <c r="B46" s="33" t="s">
        <v>76</v>
      </c>
      <c r="C46" s="34" t="s">
        <v>20</v>
      </c>
      <c r="D46" s="48"/>
      <c r="E46" s="48"/>
    </row>
    <row r="47" spans="1:5" ht="15" x14ac:dyDescent="0.25">
      <c r="A47" s="39" t="s">
        <v>77</v>
      </c>
      <c r="B47" s="40" t="s">
        <v>78</v>
      </c>
      <c r="C47" s="41" t="s">
        <v>20</v>
      </c>
      <c r="D47" s="42">
        <f>SUM(D36:D38,D42:D46)</f>
        <v>289156.65447255078</v>
      </c>
      <c r="E47" s="42">
        <f>SUM(E36:E38,E42:E46)</f>
        <v>52756.642919999998</v>
      </c>
    </row>
    <row r="49" spans="1:10" ht="15" customHeight="1" x14ac:dyDescent="0.25">
      <c r="A49" s="43" t="s">
        <v>79</v>
      </c>
      <c r="B49" s="44"/>
      <c r="C49" s="45"/>
      <c r="D49" s="52"/>
      <c r="E49" s="52"/>
    </row>
    <row r="50" spans="1:10" ht="15" customHeight="1" x14ac:dyDescent="0.25">
      <c r="A50" s="43" t="s">
        <v>80</v>
      </c>
      <c r="B50" s="44"/>
      <c r="C50" s="45"/>
      <c r="D50" s="52"/>
      <c r="E50" s="52"/>
    </row>
    <row r="51" spans="1:10" ht="12.75" x14ac:dyDescent="0.2">
      <c r="A51" s="53" t="s">
        <v>82</v>
      </c>
      <c r="B51" s="49" t="s">
        <v>83</v>
      </c>
      <c r="C51" s="34" t="s">
        <v>20</v>
      </c>
      <c r="D51" s="48">
        <f>87799.72</f>
        <v>87799.72</v>
      </c>
      <c r="E51" s="48">
        <f>[1]свод!$K$62</f>
        <v>20978.2071</v>
      </c>
    </row>
    <row r="52" spans="1:10" ht="12.75" x14ac:dyDescent="0.2">
      <c r="A52" s="53" t="s">
        <v>84</v>
      </c>
      <c r="B52" s="49" t="s">
        <v>85</v>
      </c>
      <c r="C52" s="34" t="s">
        <v>20</v>
      </c>
      <c r="D52" s="48">
        <v>452765.20448882051</v>
      </c>
      <c r="E52" s="48"/>
    </row>
    <row r="53" spans="1:10" ht="12.75" x14ac:dyDescent="0.2">
      <c r="A53" s="53" t="s">
        <v>86</v>
      </c>
      <c r="B53" s="49" t="s">
        <v>87</v>
      </c>
      <c r="C53" s="34" t="s">
        <v>20</v>
      </c>
      <c r="D53" s="48"/>
      <c r="E53" s="48"/>
    </row>
    <row r="54" spans="1:10" ht="12.75" x14ac:dyDescent="0.2">
      <c r="A54" s="53" t="s">
        <v>88</v>
      </c>
      <c r="B54" s="49" t="s">
        <v>89</v>
      </c>
      <c r="C54" s="34" t="s">
        <v>20</v>
      </c>
      <c r="D54" s="48"/>
      <c r="E54" s="48"/>
    </row>
    <row r="55" spans="1:10" ht="12.75" x14ac:dyDescent="0.2">
      <c r="A55" s="53" t="s">
        <v>90</v>
      </c>
      <c r="B55" s="49" t="s">
        <v>91</v>
      </c>
      <c r="C55" s="34" t="s">
        <v>20</v>
      </c>
      <c r="D55" s="48">
        <f>21437.93</f>
        <v>21437.93</v>
      </c>
      <c r="E55" s="48">
        <f>[1]свод!$K$59</f>
        <v>4004.0060600000006</v>
      </c>
    </row>
    <row r="56" spans="1:10" ht="15" x14ac:dyDescent="0.25">
      <c r="A56" s="39" t="s">
        <v>92</v>
      </c>
      <c r="B56" s="40" t="s">
        <v>93</v>
      </c>
      <c r="C56" s="41" t="s">
        <v>20</v>
      </c>
      <c r="D56" s="42">
        <f>SUM(D51:D55)</f>
        <v>562002.85448882054</v>
      </c>
      <c r="E56" s="42">
        <f>SUM(E51:E55)</f>
        <v>24982.213159999999</v>
      </c>
    </row>
    <row r="57" spans="1:10" ht="15" x14ac:dyDescent="0.25">
      <c r="A57" s="54" t="s">
        <v>94</v>
      </c>
      <c r="B57" s="55" t="s">
        <v>95</v>
      </c>
      <c r="C57" s="41" t="s">
        <v>20</v>
      </c>
      <c r="D57" s="42">
        <f>SUM(D33,D47,D56)</f>
        <v>1201904.1567768578</v>
      </c>
      <c r="E57" s="42">
        <f>SUM(E33,E47,E56)</f>
        <v>482726.11083167745</v>
      </c>
      <c r="H57" s="59">
        <v>482726.11391738453</v>
      </c>
      <c r="J57" s="56">
        <f>H57-E57</f>
        <v>3.0857070814818144E-3</v>
      </c>
    </row>
  </sheetData>
  <pageMargins left="0.7" right="0.7" top="0.75" bottom="0.75" header="0.3" footer="0.3"/>
  <pageSetup paperSize="9" scale="97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workbookViewId="0">
      <selection activeCell="I33" sqref="I33"/>
    </sheetView>
  </sheetViews>
  <sheetFormatPr defaultRowHeight="11.25" x14ac:dyDescent="0.2"/>
  <cols>
    <col min="1" max="1" width="7.83203125" style="2" customWidth="1"/>
    <col min="2" max="2" width="75" style="2" customWidth="1"/>
    <col min="3" max="3" width="11.83203125" style="2" customWidth="1"/>
    <col min="4" max="4" width="19" style="2" hidden="1" customWidth="1"/>
    <col min="5" max="5" width="19" style="2" customWidth="1"/>
    <col min="6" max="16384" width="9.33203125" style="2"/>
  </cols>
  <sheetData>
    <row r="1" spans="1:5" ht="15.75" x14ac:dyDescent="0.25">
      <c r="A1" s="1"/>
      <c r="B1" s="58" t="s">
        <v>98</v>
      </c>
    </row>
    <row r="2" spans="1:5" ht="15" hidden="1" x14ac:dyDescent="0.2">
      <c r="D2" s="3"/>
      <c r="E2" s="4"/>
    </row>
    <row r="3" spans="1:5" ht="25.5" hidden="1" x14ac:dyDescent="0.2">
      <c r="A3" s="5" t="s">
        <v>0</v>
      </c>
      <c r="B3" s="5" t="s">
        <v>1</v>
      </c>
      <c r="C3" s="5" t="s">
        <v>2</v>
      </c>
      <c r="D3" s="6" t="s">
        <v>3</v>
      </c>
      <c r="E3" s="6" t="s">
        <v>4</v>
      </c>
    </row>
    <row r="4" spans="1:5" hidden="1" x14ac:dyDescent="0.2">
      <c r="A4" s="7">
        <v>1</v>
      </c>
      <c r="B4" s="8"/>
      <c r="C4" s="9"/>
      <c r="D4" s="10" t="s">
        <v>5</v>
      </c>
      <c r="E4" s="10" t="s">
        <v>6</v>
      </c>
    </row>
    <row r="5" spans="1:5" hidden="1" x14ac:dyDescent="0.2">
      <c r="A5" s="11" t="s">
        <v>7</v>
      </c>
      <c r="B5" s="12"/>
      <c r="C5" s="12"/>
      <c r="D5" s="10"/>
      <c r="E5" s="10" t="s">
        <v>8</v>
      </c>
    </row>
    <row r="6" spans="1:5" hidden="1" x14ac:dyDescent="0.2">
      <c r="A6" s="13"/>
      <c r="B6" s="14" t="s">
        <v>9</v>
      </c>
      <c r="C6" s="15" t="s">
        <v>10</v>
      </c>
      <c r="D6" s="16">
        <v>6.7000000000000004E-2</v>
      </c>
      <c r="E6" s="16">
        <v>6.7000000000000004E-2</v>
      </c>
    </row>
    <row r="7" spans="1:5" hidden="1" x14ac:dyDescent="0.2">
      <c r="A7" s="13"/>
      <c r="B7" s="17" t="s">
        <v>11</v>
      </c>
      <c r="C7" s="15" t="s">
        <v>10</v>
      </c>
      <c r="D7" s="18">
        <v>0.01</v>
      </c>
      <c r="E7" s="18">
        <v>0.01</v>
      </c>
    </row>
    <row r="8" spans="1:5" hidden="1" x14ac:dyDescent="0.2">
      <c r="A8" s="13"/>
      <c r="B8" s="14" t="s">
        <v>12</v>
      </c>
      <c r="C8" s="15" t="s">
        <v>13</v>
      </c>
      <c r="D8" s="19">
        <v>14182.9</v>
      </c>
      <c r="E8" s="19">
        <v>14182.9</v>
      </c>
    </row>
    <row r="9" spans="1:5" hidden="1" x14ac:dyDescent="0.2">
      <c r="A9" s="13"/>
      <c r="B9" s="14" t="s">
        <v>14</v>
      </c>
      <c r="C9" s="15" t="s">
        <v>10</v>
      </c>
      <c r="D9" s="20"/>
      <c r="E9" s="20"/>
    </row>
    <row r="10" spans="1:5" hidden="1" x14ac:dyDescent="0.2">
      <c r="A10" s="13"/>
      <c r="B10" s="17" t="s">
        <v>15</v>
      </c>
      <c r="C10" s="15"/>
      <c r="D10" s="21">
        <v>0.75</v>
      </c>
      <c r="E10" s="21">
        <v>0.75</v>
      </c>
    </row>
    <row r="11" spans="1:5" hidden="1" x14ac:dyDescent="0.2">
      <c r="A11" s="22"/>
      <c r="B11" s="23" t="s">
        <v>16</v>
      </c>
      <c r="C11" s="24"/>
      <c r="D11" s="25">
        <f>(1+D6)*(1-D7)*(1+D9*D10)</f>
        <v>1.05633</v>
      </c>
      <c r="E11" s="25">
        <f>(1+E6)*(1-E7)*(1+E9*E10)</f>
        <v>1.05633</v>
      </c>
    </row>
    <row r="12" spans="1:5" hidden="1" x14ac:dyDescent="0.2">
      <c r="A12" s="13"/>
      <c r="B12" s="26"/>
      <c r="C12" s="15"/>
      <c r="D12" s="27"/>
      <c r="E12" s="27"/>
    </row>
    <row r="13" spans="1:5" x14ac:dyDescent="0.2">
      <c r="A13" s="7" t="s">
        <v>17</v>
      </c>
      <c r="B13" s="8"/>
      <c r="C13" s="9"/>
      <c r="D13" s="10"/>
      <c r="E13" s="10"/>
    </row>
    <row r="14" spans="1:5" ht="12.75" x14ac:dyDescent="0.2">
      <c r="A14" s="28" t="s">
        <v>18</v>
      </c>
      <c r="B14" s="29" t="s">
        <v>19</v>
      </c>
      <c r="C14" s="30" t="s">
        <v>20</v>
      </c>
      <c r="D14" s="31">
        <f>SUM(D15:D16)</f>
        <v>60958.556155019403</v>
      </c>
      <c r="E14" s="31">
        <f>SUM(E15:E16)</f>
        <v>38112.15</v>
      </c>
    </row>
    <row r="15" spans="1:5" ht="12.75" x14ac:dyDescent="0.2">
      <c r="A15" s="32" t="s">
        <v>21</v>
      </c>
      <c r="B15" s="33" t="s">
        <v>22</v>
      </c>
      <c r="C15" s="34" t="s">
        <v>20</v>
      </c>
      <c r="D15" s="35">
        <v>43218.403273384502</v>
      </c>
      <c r="E15" s="35">
        <v>31889.200000000001</v>
      </c>
    </row>
    <row r="16" spans="1:5" ht="24" x14ac:dyDescent="0.2">
      <c r="A16" s="32" t="s">
        <v>23</v>
      </c>
      <c r="B16" s="33" t="s">
        <v>24</v>
      </c>
      <c r="C16" s="34" t="s">
        <v>20</v>
      </c>
      <c r="D16" s="35">
        <v>17740.152881634902</v>
      </c>
      <c r="E16" s="35">
        <v>6222.95</v>
      </c>
    </row>
    <row r="17" spans="1:5" ht="12.75" x14ac:dyDescent="0.2">
      <c r="A17" s="28" t="s">
        <v>25</v>
      </c>
      <c r="B17" s="29" t="s">
        <v>26</v>
      </c>
      <c r="C17" s="30" t="s">
        <v>20</v>
      </c>
      <c r="D17" s="31">
        <v>242395.07962014023</v>
      </c>
      <c r="E17" s="31">
        <v>237965.5</v>
      </c>
    </row>
    <row r="18" spans="1:5" ht="12.75" x14ac:dyDescent="0.2">
      <c r="A18" s="28"/>
      <c r="B18" s="29" t="s">
        <v>97</v>
      </c>
      <c r="C18" s="30"/>
      <c r="D18" s="31"/>
      <c r="E18" s="31">
        <v>86464.72</v>
      </c>
    </row>
    <row r="19" spans="1:5" ht="12.75" x14ac:dyDescent="0.2">
      <c r="A19" s="28" t="s">
        <v>27</v>
      </c>
      <c r="B19" s="29" t="s">
        <v>28</v>
      </c>
      <c r="C19" s="30" t="s">
        <v>20</v>
      </c>
      <c r="D19" s="31">
        <f>SUM(D20:D21,D28:D32)</f>
        <v>47391.012040326925</v>
      </c>
      <c r="E19" s="31">
        <f>SUM(E20:E21,E28:E32)</f>
        <v>36415.684784567304</v>
      </c>
    </row>
    <row r="20" spans="1:5" ht="12.75" x14ac:dyDescent="0.2">
      <c r="A20" s="32" t="s">
        <v>29</v>
      </c>
      <c r="B20" s="36" t="s">
        <v>30</v>
      </c>
      <c r="C20" s="34" t="s">
        <v>20</v>
      </c>
      <c r="D20" s="35">
        <v>4993.4655040954685</v>
      </c>
      <c r="E20" s="35"/>
    </row>
    <row r="21" spans="1:5" ht="12.75" x14ac:dyDescent="0.2">
      <c r="A21" s="32" t="s">
        <v>31</v>
      </c>
      <c r="B21" s="37" t="s">
        <v>32</v>
      </c>
      <c r="C21" s="34" t="s">
        <v>20</v>
      </c>
      <c r="D21" s="35">
        <f>SUM(D22:D27)</f>
        <v>22678.527117374721</v>
      </c>
      <c r="E21" s="35">
        <f>SUM(E22:E27)</f>
        <v>23472.735599361651</v>
      </c>
    </row>
    <row r="22" spans="1:5" ht="12.75" x14ac:dyDescent="0.2">
      <c r="A22" s="32" t="s">
        <v>33</v>
      </c>
      <c r="B22" s="33" t="s">
        <v>34</v>
      </c>
      <c r="C22" s="34" t="s">
        <v>20</v>
      </c>
      <c r="D22" s="35">
        <v>1707.8521437093484</v>
      </c>
      <c r="E22" s="35">
        <f>[2]строка9_8!$O$40</f>
        <v>868.51090350588015</v>
      </c>
    </row>
    <row r="23" spans="1:5" ht="12.75" x14ac:dyDescent="0.2">
      <c r="A23" s="32" t="s">
        <v>35</v>
      </c>
      <c r="B23" s="33" t="s">
        <v>36</v>
      </c>
      <c r="C23" s="34" t="s">
        <v>20</v>
      </c>
      <c r="D23" s="35">
        <v>9510.3233197553509</v>
      </c>
      <c r="E23" s="35">
        <f>[2]строка9_8!$O$17</f>
        <v>5714.1262241796476</v>
      </c>
    </row>
    <row r="24" spans="1:5" ht="12.75" x14ac:dyDescent="0.2">
      <c r="A24" s="32" t="s">
        <v>37</v>
      </c>
      <c r="B24" s="33" t="s">
        <v>38</v>
      </c>
      <c r="C24" s="34" t="s">
        <v>20</v>
      </c>
      <c r="D24" s="35">
        <v>1110.939181558781</v>
      </c>
      <c r="E24" s="35">
        <f>[2]строка9_8!$O$27</f>
        <v>437.97801359557809</v>
      </c>
    </row>
    <row r="25" spans="1:5" ht="12.75" x14ac:dyDescent="0.2">
      <c r="A25" s="32" t="s">
        <v>39</v>
      </c>
      <c r="B25" s="33" t="s">
        <v>40</v>
      </c>
      <c r="C25" s="34" t="s">
        <v>20</v>
      </c>
      <c r="D25" s="35">
        <v>533.53807492968895</v>
      </c>
      <c r="E25" s="35">
        <f>[2]строка9_8!$O$14</f>
        <v>207.68792947051378</v>
      </c>
    </row>
    <row r="26" spans="1:5" ht="12.75" x14ac:dyDescent="0.2">
      <c r="A26" s="32" t="s">
        <v>41</v>
      </c>
      <c r="B26" s="33" t="s">
        <v>42</v>
      </c>
      <c r="C26" s="34" t="s">
        <v>20</v>
      </c>
      <c r="D26" s="35">
        <v>724.93499042583812</v>
      </c>
      <c r="E26" s="35">
        <f>[2]строка9_8!$O$48</f>
        <v>1366.3725286100289</v>
      </c>
    </row>
    <row r="27" spans="1:5" ht="12.75" x14ac:dyDescent="0.2">
      <c r="A27" s="32" t="s">
        <v>43</v>
      </c>
      <c r="B27" s="38" t="s">
        <v>44</v>
      </c>
      <c r="C27" s="34" t="s">
        <v>20</v>
      </c>
      <c r="D27" s="35">
        <v>9090.9394069957143</v>
      </c>
      <c r="E27" s="57">
        <v>14878.06</v>
      </c>
    </row>
    <row r="28" spans="1:5" ht="12.75" x14ac:dyDescent="0.2">
      <c r="A28" s="32" t="s">
        <v>45</v>
      </c>
      <c r="B28" s="33" t="s">
        <v>46</v>
      </c>
      <c r="C28" s="34" t="s">
        <v>20</v>
      </c>
      <c r="D28" s="35">
        <v>1057.0170214186908</v>
      </c>
      <c r="E28" s="35">
        <f>[2]строка9_8!$O$10</f>
        <v>447.6070402285352</v>
      </c>
    </row>
    <row r="29" spans="1:5" ht="12.75" x14ac:dyDescent="0.2">
      <c r="A29" s="32" t="s">
        <v>47</v>
      </c>
      <c r="B29" s="33" t="s">
        <v>48</v>
      </c>
      <c r="C29" s="34" t="s">
        <v>20</v>
      </c>
      <c r="D29" s="35">
        <v>37.347189636168501</v>
      </c>
      <c r="E29" s="35">
        <f>[2]строка9_8!$O$15</f>
        <v>166.58464245805212</v>
      </c>
    </row>
    <row r="30" spans="1:5" ht="12.75" x14ac:dyDescent="0.2">
      <c r="A30" s="32" t="s">
        <v>49</v>
      </c>
      <c r="B30" s="33" t="s">
        <v>50</v>
      </c>
      <c r="C30" s="34" t="s">
        <v>20</v>
      </c>
      <c r="D30" s="35">
        <v>2153.0934245485605</v>
      </c>
      <c r="E30" s="35">
        <f>[2]строка9_8!$O$24+[2]строка9_8!$O$25+[2]строка9_8!$O$33+[2]строка9_8!$O$22</f>
        <v>730.7575025190597</v>
      </c>
    </row>
    <row r="31" spans="1:5" ht="12.75" x14ac:dyDescent="0.2">
      <c r="A31" s="32" t="s">
        <v>51</v>
      </c>
      <c r="B31" s="33" t="s">
        <v>52</v>
      </c>
      <c r="C31" s="34" t="s">
        <v>20</v>
      </c>
      <c r="D31" s="35">
        <v>10281.249691751613</v>
      </c>
      <c r="E31" s="35">
        <v>498.84</v>
      </c>
    </row>
    <row r="32" spans="1:5" ht="12.75" x14ac:dyDescent="0.2">
      <c r="A32" s="32" t="s">
        <v>53</v>
      </c>
      <c r="B32" s="33" t="s">
        <v>54</v>
      </c>
      <c r="C32" s="34" t="s">
        <v>20</v>
      </c>
      <c r="D32" s="35">
        <f>4533.31209150171+1657</f>
        <v>6190.3120915017098</v>
      </c>
      <c r="E32" s="57">
        <f>18583.24-7484.08</f>
        <v>11099.160000000002</v>
      </c>
    </row>
    <row r="33" spans="1:5" ht="15" x14ac:dyDescent="0.25">
      <c r="A33" s="39" t="s">
        <v>55</v>
      </c>
      <c r="B33" s="40" t="s">
        <v>56</v>
      </c>
      <c r="C33" s="41" t="s">
        <v>20</v>
      </c>
      <c r="D33" s="42">
        <f>SUM(D14,D17:D19)</f>
        <v>350744.64781548653</v>
      </c>
      <c r="E33" s="42">
        <f>E14+E17+E18+E19</f>
        <v>398958.05478456733</v>
      </c>
    </row>
    <row r="35" spans="1:5" ht="11.25" customHeight="1" x14ac:dyDescent="0.2">
      <c r="A35" s="43" t="s">
        <v>57</v>
      </c>
      <c r="B35" s="44"/>
      <c r="C35" s="45"/>
      <c r="D35" s="46"/>
      <c r="E35" s="46"/>
    </row>
    <row r="36" spans="1:5" ht="12.75" x14ac:dyDescent="0.2">
      <c r="A36" s="47" t="s">
        <v>58</v>
      </c>
      <c r="B36" s="33"/>
      <c r="C36" s="34" t="s">
        <v>20</v>
      </c>
      <c r="D36" s="48">
        <v>4700.78</v>
      </c>
      <c r="E36" s="48"/>
    </row>
    <row r="37" spans="1:5" ht="12.75" x14ac:dyDescent="0.2">
      <c r="A37" s="47" t="s">
        <v>59</v>
      </c>
      <c r="B37" s="49" t="s">
        <v>60</v>
      </c>
      <c r="C37" s="34" t="s">
        <v>20</v>
      </c>
      <c r="D37" s="48">
        <v>103034.03947255079</v>
      </c>
      <c r="E37" s="48">
        <v>0</v>
      </c>
    </row>
    <row r="38" spans="1:5" ht="12.75" x14ac:dyDescent="0.2">
      <c r="A38" s="47" t="s">
        <v>61</v>
      </c>
      <c r="B38" s="49" t="s">
        <v>62</v>
      </c>
      <c r="C38" s="34" t="s">
        <v>20</v>
      </c>
      <c r="D38" s="48">
        <f>SUM(D39:D41)</f>
        <v>24764.345000000001</v>
      </c>
      <c r="E38" s="48">
        <f>E39+E40+E41</f>
        <v>8007.5700000000006</v>
      </c>
    </row>
    <row r="39" spans="1:5" ht="12.75" x14ac:dyDescent="0.2">
      <c r="A39" s="32" t="s">
        <v>63</v>
      </c>
      <c r="B39" s="33" t="s">
        <v>64</v>
      </c>
      <c r="C39" s="34" t="s">
        <v>20</v>
      </c>
      <c r="D39" s="48">
        <v>527.08000000000004</v>
      </c>
      <c r="E39" s="48">
        <f>[2]налоги!$O$13</f>
        <v>526.89</v>
      </c>
    </row>
    <row r="40" spans="1:5" ht="12.75" x14ac:dyDescent="0.2">
      <c r="A40" s="32" t="s">
        <v>65</v>
      </c>
      <c r="B40" s="50" t="s">
        <v>66</v>
      </c>
      <c r="C40" s="34" t="s">
        <v>20</v>
      </c>
      <c r="D40" s="48">
        <v>23750.965</v>
      </c>
      <c r="E40" s="48">
        <f>[2]налоги!$O$15</f>
        <v>7262.67</v>
      </c>
    </row>
    <row r="41" spans="1:5" ht="12.75" x14ac:dyDescent="0.2">
      <c r="A41" s="32" t="s">
        <v>67</v>
      </c>
      <c r="B41" s="50" t="s">
        <v>68</v>
      </c>
      <c r="C41" s="34" t="s">
        <v>20</v>
      </c>
      <c r="D41" s="48">
        <v>486.29999999999995</v>
      </c>
      <c r="E41" s="48">
        <f>[2]налоги!$O$14+[2]налоги!$O$12</f>
        <v>218.01</v>
      </c>
    </row>
    <row r="42" spans="1:5" ht="12.75" x14ac:dyDescent="0.2">
      <c r="A42" s="32" t="s">
        <v>69</v>
      </c>
      <c r="B42" s="51" t="s">
        <v>81</v>
      </c>
      <c r="C42" s="34" t="s">
        <v>20</v>
      </c>
      <c r="D42" s="35">
        <v>71834.820000000007</v>
      </c>
      <c r="E42" s="35">
        <v>30484</v>
      </c>
    </row>
    <row r="43" spans="1:5" ht="12.75" hidden="1" x14ac:dyDescent="0.2">
      <c r="A43" s="32" t="s">
        <v>70</v>
      </c>
      <c r="B43" s="51" t="s">
        <v>71</v>
      </c>
      <c r="C43" s="34" t="s">
        <v>20</v>
      </c>
      <c r="D43" s="48">
        <f>81727.47</f>
        <v>81727.47</v>
      </c>
      <c r="E43" s="48"/>
    </row>
    <row r="44" spans="1:5" ht="12.75" hidden="1" x14ac:dyDescent="0.2">
      <c r="A44" s="32" t="s">
        <v>72</v>
      </c>
      <c r="B44" s="51" t="s">
        <v>96</v>
      </c>
      <c r="C44" s="34" t="s">
        <v>20</v>
      </c>
      <c r="D44" s="48"/>
      <c r="E44" s="48"/>
    </row>
    <row r="45" spans="1:5" ht="12.75" hidden="1" x14ac:dyDescent="0.2">
      <c r="A45" s="32" t="s">
        <v>73</v>
      </c>
      <c r="B45" s="51" t="s">
        <v>74</v>
      </c>
      <c r="C45" s="34" t="s">
        <v>20</v>
      </c>
      <c r="D45" s="48">
        <v>3095.2</v>
      </c>
      <c r="E45" s="48"/>
    </row>
    <row r="46" spans="1:5" ht="12.75" hidden="1" x14ac:dyDescent="0.2">
      <c r="A46" s="32" t="s">
        <v>75</v>
      </c>
      <c r="B46" s="33" t="s">
        <v>76</v>
      </c>
      <c r="C46" s="34" t="s">
        <v>20</v>
      </c>
      <c r="D46" s="48"/>
      <c r="E46" s="48"/>
    </row>
    <row r="47" spans="1:5" ht="15" x14ac:dyDescent="0.25">
      <c r="A47" s="39" t="s">
        <v>77</v>
      </c>
      <c r="B47" s="40" t="s">
        <v>78</v>
      </c>
      <c r="C47" s="41" t="s">
        <v>20</v>
      </c>
      <c r="D47" s="42">
        <f>SUM(D36:D38,D42:D46)</f>
        <v>289156.65447255078</v>
      </c>
      <c r="E47" s="42">
        <f>E38+E42</f>
        <v>38491.57</v>
      </c>
    </row>
    <row r="49" spans="1:10" ht="15" customHeight="1" x14ac:dyDescent="0.25">
      <c r="A49" s="43" t="s">
        <v>79</v>
      </c>
      <c r="B49" s="44"/>
      <c r="C49" s="45"/>
      <c r="D49" s="52"/>
      <c r="E49" s="52"/>
    </row>
    <row r="50" spans="1:10" ht="15" customHeight="1" x14ac:dyDescent="0.25">
      <c r="A50" s="43" t="s">
        <v>80</v>
      </c>
      <c r="B50" s="44"/>
      <c r="C50" s="45"/>
      <c r="D50" s="52"/>
      <c r="E50" s="52"/>
    </row>
    <row r="51" spans="1:10" ht="12.75" x14ac:dyDescent="0.2">
      <c r="A51" s="53" t="s">
        <v>82</v>
      </c>
      <c r="B51" s="49" t="s">
        <v>83</v>
      </c>
      <c r="C51" s="34" t="s">
        <v>20</v>
      </c>
      <c r="D51" s="48">
        <f>87799.72</f>
        <v>87799.72</v>
      </c>
      <c r="E51" s="48">
        <v>12469.81</v>
      </c>
    </row>
    <row r="52" spans="1:10" ht="12.75" x14ac:dyDescent="0.2">
      <c r="A52" s="53" t="s">
        <v>84</v>
      </c>
      <c r="B52" s="49" t="s">
        <v>85</v>
      </c>
      <c r="C52" s="34" t="s">
        <v>20</v>
      </c>
      <c r="D52" s="48">
        <v>452765.20448882051</v>
      </c>
      <c r="E52" s="48">
        <v>854.79</v>
      </c>
    </row>
    <row r="53" spans="1:10" ht="12.75" x14ac:dyDescent="0.2">
      <c r="A53" s="53" t="s">
        <v>86</v>
      </c>
      <c r="B53" s="49" t="s">
        <v>87</v>
      </c>
      <c r="C53" s="34" t="s">
        <v>20</v>
      </c>
      <c r="D53" s="48"/>
      <c r="E53" s="48"/>
    </row>
    <row r="54" spans="1:10" ht="12.75" x14ac:dyDescent="0.2">
      <c r="A54" s="53" t="s">
        <v>88</v>
      </c>
      <c r="B54" s="49" t="s">
        <v>89</v>
      </c>
      <c r="C54" s="34" t="s">
        <v>20</v>
      </c>
      <c r="D54" s="48"/>
      <c r="E54" s="48"/>
    </row>
    <row r="55" spans="1:10" ht="12.75" x14ac:dyDescent="0.2">
      <c r="A55" s="53" t="s">
        <v>90</v>
      </c>
      <c r="B55" s="49" t="s">
        <v>91</v>
      </c>
      <c r="C55" s="34" t="s">
        <v>20</v>
      </c>
      <c r="D55" s="48">
        <f>21437.93</f>
        <v>21437.93</v>
      </c>
      <c r="E55" s="48">
        <v>240.48</v>
      </c>
    </row>
    <row r="56" spans="1:10" ht="15" x14ac:dyDescent="0.25">
      <c r="A56" s="39" t="s">
        <v>92</v>
      </c>
      <c r="B56" s="40" t="s">
        <v>93</v>
      </c>
      <c r="C56" s="41" t="s">
        <v>20</v>
      </c>
      <c r="D56" s="42">
        <f>SUM(D51:D55)</f>
        <v>562002.85448882054</v>
      </c>
      <c r="E56" s="42">
        <f>SUM(E51:E55)</f>
        <v>13565.079999999998</v>
      </c>
    </row>
    <row r="57" spans="1:10" ht="15" x14ac:dyDescent="0.25">
      <c r="A57" s="54" t="s">
        <v>94</v>
      </c>
      <c r="B57" s="55" t="s">
        <v>95</v>
      </c>
      <c r="C57" s="41" t="s">
        <v>20</v>
      </c>
      <c r="D57" s="42">
        <f>SUM(D33,D47,D56)</f>
        <v>1201904.1567768578</v>
      </c>
      <c r="E57" s="42">
        <f>SUM(E33,E47,E56)</f>
        <v>451014.70478456735</v>
      </c>
      <c r="H57" s="2">
        <v>451014.7</v>
      </c>
      <c r="J57" s="56">
        <f>H57-E57</f>
        <v>-4.7845673398114741E-3</v>
      </c>
    </row>
  </sheetData>
  <pageMargins left="0.7" right="0.7" top="0.75" bottom="0.75" header="0.3" footer="0.3"/>
  <pageSetup paperSize="9" scale="97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abSelected="1" workbookViewId="0">
      <selection activeCell="O31" sqref="O31"/>
    </sheetView>
  </sheetViews>
  <sheetFormatPr defaultRowHeight="11.25" x14ac:dyDescent="0.2"/>
  <cols>
    <col min="1" max="1" width="7.83203125" style="2" customWidth="1"/>
    <col min="2" max="2" width="75" style="2" customWidth="1"/>
    <col min="3" max="3" width="11.83203125" style="2" customWidth="1"/>
    <col min="4" max="4" width="19" style="2" hidden="1" customWidth="1"/>
    <col min="5" max="5" width="19" style="2" customWidth="1"/>
    <col min="6" max="6" width="9.33203125" style="2"/>
    <col min="7" max="8" width="10.1640625" style="2" bestFit="1" customWidth="1"/>
    <col min="9" max="9" width="9.33203125" style="2"/>
    <col min="10" max="10" width="16.5" style="2" customWidth="1"/>
    <col min="11" max="16384" width="9.33203125" style="2"/>
  </cols>
  <sheetData>
    <row r="1" spans="1:5" ht="15.75" x14ac:dyDescent="0.25">
      <c r="A1" s="62" t="s">
        <v>100</v>
      </c>
      <c r="B1" s="61"/>
    </row>
    <row r="2" spans="1:5" ht="15" hidden="1" x14ac:dyDescent="0.2">
      <c r="D2" s="3"/>
      <c r="E2" s="4"/>
    </row>
    <row r="3" spans="1:5" ht="25.5" hidden="1" x14ac:dyDescent="0.2">
      <c r="A3" s="5" t="s">
        <v>0</v>
      </c>
      <c r="B3" s="5" t="s">
        <v>1</v>
      </c>
      <c r="C3" s="5" t="s">
        <v>2</v>
      </c>
      <c r="D3" s="6" t="s">
        <v>3</v>
      </c>
      <c r="E3" s="6" t="s">
        <v>4</v>
      </c>
    </row>
    <row r="4" spans="1:5" hidden="1" x14ac:dyDescent="0.2">
      <c r="A4" s="7">
        <v>1</v>
      </c>
      <c r="B4" s="8"/>
      <c r="C4" s="9"/>
      <c r="D4" s="10" t="s">
        <v>5</v>
      </c>
      <c r="E4" s="10" t="s">
        <v>6</v>
      </c>
    </row>
    <row r="5" spans="1:5" hidden="1" x14ac:dyDescent="0.2">
      <c r="A5" s="11" t="s">
        <v>7</v>
      </c>
      <c r="B5" s="12"/>
      <c r="C5" s="12"/>
      <c r="D5" s="10"/>
      <c r="E5" s="10" t="s">
        <v>8</v>
      </c>
    </row>
    <row r="6" spans="1:5" hidden="1" x14ac:dyDescent="0.2">
      <c r="A6" s="13"/>
      <c r="B6" s="14" t="s">
        <v>9</v>
      </c>
      <c r="C6" s="15" t="s">
        <v>10</v>
      </c>
      <c r="D6" s="16">
        <v>6.7000000000000004E-2</v>
      </c>
      <c r="E6" s="16">
        <v>6.7000000000000004E-2</v>
      </c>
    </row>
    <row r="7" spans="1:5" hidden="1" x14ac:dyDescent="0.2">
      <c r="A7" s="13"/>
      <c r="B7" s="17" t="s">
        <v>11</v>
      </c>
      <c r="C7" s="15" t="s">
        <v>10</v>
      </c>
      <c r="D7" s="18">
        <v>0.01</v>
      </c>
      <c r="E7" s="18">
        <v>0.01</v>
      </c>
    </row>
    <row r="8" spans="1:5" hidden="1" x14ac:dyDescent="0.2">
      <c r="A8" s="13"/>
      <c r="B8" s="14" t="s">
        <v>12</v>
      </c>
      <c r="C8" s="15" t="s">
        <v>13</v>
      </c>
      <c r="D8" s="19">
        <v>14182.9</v>
      </c>
      <c r="E8" s="19">
        <v>14182.9</v>
      </c>
    </row>
    <row r="9" spans="1:5" hidden="1" x14ac:dyDescent="0.2">
      <c r="A9" s="13"/>
      <c r="B9" s="14" t="s">
        <v>14</v>
      </c>
      <c r="C9" s="15" t="s">
        <v>10</v>
      </c>
      <c r="D9" s="20"/>
      <c r="E9" s="20"/>
    </row>
    <row r="10" spans="1:5" hidden="1" x14ac:dyDescent="0.2">
      <c r="A10" s="13"/>
      <c r="B10" s="17" t="s">
        <v>15</v>
      </c>
      <c r="C10" s="15"/>
      <c r="D10" s="21">
        <v>0.75</v>
      </c>
      <c r="E10" s="21">
        <v>0.75</v>
      </c>
    </row>
    <row r="11" spans="1:5" hidden="1" x14ac:dyDescent="0.2">
      <c r="A11" s="22"/>
      <c r="B11" s="23" t="s">
        <v>16</v>
      </c>
      <c r="C11" s="24"/>
      <c r="D11" s="25">
        <f>(1+D6)*(1-D7)*(1+D9*D10)</f>
        <v>1.05633</v>
      </c>
      <c r="E11" s="25">
        <f>(1+E6)*(1-E7)*(1+E9*E10)</f>
        <v>1.05633</v>
      </c>
    </row>
    <row r="12" spans="1:5" hidden="1" x14ac:dyDescent="0.2">
      <c r="A12" s="13"/>
      <c r="B12" s="26"/>
      <c r="C12" s="15"/>
      <c r="D12" s="27"/>
      <c r="E12" s="27"/>
    </row>
    <row r="13" spans="1:5" x14ac:dyDescent="0.2">
      <c r="A13" s="7" t="s">
        <v>17</v>
      </c>
      <c r="B13" s="8"/>
      <c r="C13" s="9"/>
      <c r="D13" s="10"/>
      <c r="E13" s="10"/>
    </row>
    <row r="14" spans="1:5" ht="12.75" x14ac:dyDescent="0.2">
      <c r="A14" s="28" t="s">
        <v>18</v>
      </c>
      <c r="B14" s="29" t="s">
        <v>19</v>
      </c>
      <c r="C14" s="30" t="s">
        <v>20</v>
      </c>
      <c r="D14" s="31">
        <f>SUM(D15:D16)</f>
        <v>60958.556155019403</v>
      </c>
      <c r="E14" s="31">
        <f>SUM(E15:E16)</f>
        <v>42010.26</v>
      </c>
    </row>
    <row r="15" spans="1:5" ht="12.75" x14ac:dyDescent="0.2">
      <c r="A15" s="32" t="s">
        <v>21</v>
      </c>
      <c r="B15" s="33" t="s">
        <v>22</v>
      </c>
      <c r="C15" s="34" t="s">
        <v>20</v>
      </c>
      <c r="D15" s="35">
        <v>43218.403273384502</v>
      </c>
      <c r="E15" s="35">
        <f>[3]свод!$AG$7</f>
        <v>35011.800000000003</v>
      </c>
    </row>
    <row r="16" spans="1:5" ht="24" x14ac:dyDescent="0.2">
      <c r="A16" s="32" t="s">
        <v>23</v>
      </c>
      <c r="B16" s="33" t="s">
        <v>24</v>
      </c>
      <c r="C16" s="34" t="s">
        <v>20</v>
      </c>
      <c r="D16" s="35">
        <v>17740.152881634902</v>
      </c>
      <c r="E16" s="35">
        <f>[1]свод!$AG$10</f>
        <v>6998.46</v>
      </c>
    </row>
    <row r="17" spans="1:8" ht="12.75" x14ac:dyDescent="0.2">
      <c r="A17" s="28" t="s">
        <v>25</v>
      </c>
      <c r="B17" s="29" t="s">
        <v>26</v>
      </c>
      <c r="C17" s="30" t="s">
        <v>20</v>
      </c>
      <c r="D17" s="31">
        <v>242395.07962014023</v>
      </c>
      <c r="E17" s="31">
        <f>[1]свод!$AG$21</f>
        <v>290679.43</v>
      </c>
      <c r="G17" s="56">
        <f>'[4]Расчет НВВ на 2019 АО МЭС'!$BP$14</f>
        <v>290679.43000000005</v>
      </c>
      <c r="H17" s="59">
        <f>[5]свод!$AG$21</f>
        <v>290679.43</v>
      </c>
    </row>
    <row r="18" spans="1:8" ht="12.75" x14ac:dyDescent="0.2">
      <c r="A18" s="28"/>
      <c r="B18" s="29" t="s">
        <v>97</v>
      </c>
      <c r="C18" s="30"/>
      <c r="D18" s="31"/>
      <c r="E18" s="31">
        <f>[1]свод!$AG$27</f>
        <v>83308.186052045043</v>
      </c>
      <c r="G18" s="59">
        <f>[5]свод!$AG$27</f>
        <v>83308.189963877041</v>
      </c>
    </row>
    <row r="19" spans="1:8" ht="12.75" x14ac:dyDescent="0.2">
      <c r="A19" s="28" t="s">
        <v>27</v>
      </c>
      <c r="B19" s="29" t="s">
        <v>28</v>
      </c>
      <c r="C19" s="30" t="s">
        <v>20</v>
      </c>
      <c r="D19" s="31">
        <f>SUM(D20:D21,D28:D32)</f>
        <v>47391.012040326925</v>
      </c>
      <c r="E19" s="31">
        <f>SUM(E20:E21,E28:E32)</f>
        <v>83184.418512572447</v>
      </c>
    </row>
    <row r="20" spans="1:8" ht="12.75" x14ac:dyDescent="0.2">
      <c r="A20" s="32" t="s">
        <v>29</v>
      </c>
      <c r="B20" s="36" t="s">
        <v>30</v>
      </c>
      <c r="C20" s="34" t="s">
        <v>20</v>
      </c>
      <c r="D20" s="35">
        <v>4993.4655040954685</v>
      </c>
      <c r="E20" s="35"/>
    </row>
    <row r="21" spans="1:8" ht="12.75" x14ac:dyDescent="0.2">
      <c r="A21" s="32" t="s">
        <v>31</v>
      </c>
      <c r="B21" s="37" t="s">
        <v>32</v>
      </c>
      <c r="C21" s="34" t="s">
        <v>20</v>
      </c>
      <c r="D21" s="35">
        <f>SUM(D22:D27)</f>
        <v>22678.527117374721</v>
      </c>
      <c r="E21" s="35">
        <f>SUM(E22:E27)</f>
        <v>32785.501384572453</v>
      </c>
    </row>
    <row r="22" spans="1:8" ht="12.75" x14ac:dyDescent="0.2">
      <c r="A22" s="32" t="s">
        <v>33</v>
      </c>
      <c r="B22" s="33" t="s">
        <v>34</v>
      </c>
      <c r="C22" s="34" t="s">
        <v>20</v>
      </c>
      <c r="D22" s="35">
        <v>1707.8521437093484</v>
      </c>
      <c r="E22" s="35">
        <f>[2]строка9_8!$U$40</f>
        <v>1360.270817472305</v>
      </c>
    </row>
    <row r="23" spans="1:8" ht="12.75" x14ac:dyDescent="0.2">
      <c r="A23" s="32" t="s">
        <v>35</v>
      </c>
      <c r="B23" s="33" t="s">
        <v>36</v>
      </c>
      <c r="C23" s="34" t="s">
        <v>20</v>
      </c>
      <c r="D23" s="35">
        <v>9510.3233197553509</v>
      </c>
      <c r="E23" s="35">
        <f>[2]строка9_8!$U$17</f>
        <v>11253.03</v>
      </c>
    </row>
    <row r="24" spans="1:8" ht="12.75" x14ac:dyDescent="0.2">
      <c r="A24" s="32" t="s">
        <v>37</v>
      </c>
      <c r="B24" s="33" t="s">
        <v>38</v>
      </c>
      <c r="C24" s="34" t="s">
        <v>20</v>
      </c>
      <c r="D24" s="35">
        <v>1110.939181558781</v>
      </c>
      <c r="E24" s="35">
        <f>[2]строка9_8!$U$27</f>
        <v>742.07</v>
      </c>
    </row>
    <row r="25" spans="1:8" ht="12.75" x14ac:dyDescent="0.2">
      <c r="A25" s="32" t="s">
        <v>39</v>
      </c>
      <c r="B25" s="33" t="s">
        <v>40</v>
      </c>
      <c r="C25" s="34" t="s">
        <v>20</v>
      </c>
      <c r="D25" s="35">
        <v>533.53807492968895</v>
      </c>
      <c r="E25" s="35">
        <f>[2]строка9_8!$U$14</f>
        <v>364.41</v>
      </c>
    </row>
    <row r="26" spans="1:8" ht="12.75" x14ac:dyDescent="0.2">
      <c r="A26" s="32" t="s">
        <v>41</v>
      </c>
      <c r="B26" s="33" t="s">
        <v>42</v>
      </c>
      <c r="C26" s="34" t="s">
        <v>20</v>
      </c>
      <c r="D26" s="35">
        <v>724.93499042583812</v>
      </c>
      <c r="E26" s="35">
        <f>[2]строка9_8!$U$48</f>
        <v>2826.6264000000001</v>
      </c>
    </row>
    <row r="27" spans="1:8" ht="12.75" x14ac:dyDescent="0.2">
      <c r="A27" s="32" t="s">
        <v>43</v>
      </c>
      <c r="B27" s="38" t="s">
        <v>44</v>
      </c>
      <c r="C27" s="34" t="s">
        <v>20</v>
      </c>
      <c r="D27" s="35">
        <v>9090.9394069957143</v>
      </c>
      <c r="E27" s="35">
        <v>16239.094167100151</v>
      </c>
    </row>
    <row r="28" spans="1:8" ht="12.75" x14ac:dyDescent="0.2">
      <c r="A28" s="32" t="s">
        <v>45</v>
      </c>
      <c r="B28" s="33" t="s">
        <v>46</v>
      </c>
      <c r="C28" s="34" t="s">
        <v>20</v>
      </c>
      <c r="D28" s="35">
        <v>1057.0170214186908</v>
      </c>
      <c r="E28" s="35">
        <f>[2]строка9_8!$U$10</f>
        <v>1439.32</v>
      </c>
    </row>
    <row r="29" spans="1:8" ht="12.75" x14ac:dyDescent="0.2">
      <c r="A29" s="32" t="s">
        <v>47</v>
      </c>
      <c r="B29" s="33" t="s">
        <v>48</v>
      </c>
      <c r="C29" s="34" t="s">
        <v>20</v>
      </c>
      <c r="D29" s="35">
        <v>37.347189636168501</v>
      </c>
      <c r="E29" s="35">
        <f>[2]строка9_8!$U$15</f>
        <v>240.2</v>
      </c>
    </row>
    <row r="30" spans="1:8" ht="12.75" x14ac:dyDescent="0.2">
      <c r="A30" s="32" t="s">
        <v>49</v>
      </c>
      <c r="B30" s="33" t="s">
        <v>50</v>
      </c>
      <c r="C30" s="34" t="s">
        <v>20</v>
      </c>
      <c r="D30" s="35">
        <v>2153.0934245485605</v>
      </c>
      <c r="E30" s="35">
        <f>[2]строка9_8!$U$22+[2]строка9_8!$U$24+[2]строка9_8!$U$25+[2]строка9_8!$U$33</f>
        <v>4950.0775279999998</v>
      </c>
    </row>
    <row r="31" spans="1:8" ht="12.75" x14ac:dyDescent="0.2">
      <c r="A31" s="32" t="s">
        <v>51</v>
      </c>
      <c r="B31" s="33" t="s">
        <v>52</v>
      </c>
      <c r="C31" s="34" t="s">
        <v>20</v>
      </c>
      <c r="D31" s="35">
        <v>10281.249691751613</v>
      </c>
      <c r="E31" s="35">
        <f>[1]свод!$AG$32</f>
        <v>866.56960000000004</v>
      </c>
    </row>
    <row r="32" spans="1:8" ht="12.75" x14ac:dyDescent="0.2">
      <c r="A32" s="32" t="s">
        <v>53</v>
      </c>
      <c r="B32" s="33" t="s">
        <v>54</v>
      </c>
      <c r="C32" s="34" t="s">
        <v>20</v>
      </c>
      <c r="D32" s="35">
        <f>4533.31209150171+1657</f>
        <v>6190.3120915017098</v>
      </c>
      <c r="E32" s="35">
        <f>42902.74-405+414.61-9.6</f>
        <v>42902.75</v>
      </c>
    </row>
    <row r="33" spans="1:5" ht="15" x14ac:dyDescent="0.25">
      <c r="A33" s="39" t="s">
        <v>55</v>
      </c>
      <c r="B33" s="40" t="s">
        <v>56</v>
      </c>
      <c r="C33" s="41" t="s">
        <v>20</v>
      </c>
      <c r="D33" s="42">
        <f>SUM(D14,D17:D19)</f>
        <v>350744.64781548653</v>
      </c>
      <c r="E33" s="42">
        <f>E14+E17+E18+E19</f>
        <v>499182.29456461745</v>
      </c>
    </row>
    <row r="35" spans="1:5" ht="11.25" customHeight="1" x14ac:dyDescent="0.2">
      <c r="A35" s="43" t="s">
        <v>57</v>
      </c>
      <c r="B35" s="44"/>
      <c r="C35" s="45"/>
      <c r="D35" s="46"/>
      <c r="E35" s="46"/>
    </row>
    <row r="36" spans="1:5" ht="12.75" x14ac:dyDescent="0.2">
      <c r="A36" s="47" t="s">
        <v>58</v>
      </c>
      <c r="B36" s="33"/>
      <c r="C36" s="34" t="s">
        <v>20</v>
      </c>
      <c r="D36" s="48">
        <v>4700.78</v>
      </c>
      <c r="E36" s="48"/>
    </row>
    <row r="37" spans="1:5" ht="12.75" x14ac:dyDescent="0.2">
      <c r="A37" s="47" t="s">
        <v>59</v>
      </c>
      <c r="B37" s="49" t="s">
        <v>60</v>
      </c>
      <c r="C37" s="34" t="s">
        <v>20</v>
      </c>
      <c r="D37" s="48">
        <v>103034.03947255079</v>
      </c>
      <c r="E37" s="48">
        <v>2217.7008300000002</v>
      </c>
    </row>
    <row r="38" spans="1:5" ht="12.75" x14ac:dyDescent="0.2">
      <c r="A38" s="47" t="s">
        <v>61</v>
      </c>
      <c r="B38" s="49" t="s">
        <v>62</v>
      </c>
      <c r="C38" s="34" t="s">
        <v>20</v>
      </c>
      <c r="D38" s="48">
        <f>SUM(D39:D41)</f>
        <v>24764.345000000001</v>
      </c>
      <c r="E38" s="48">
        <v>2665.8490000000002</v>
      </c>
    </row>
    <row r="39" spans="1:5" ht="12.75" x14ac:dyDescent="0.2">
      <c r="A39" s="32" t="s">
        <v>63</v>
      </c>
      <c r="B39" s="33" t="s">
        <v>64</v>
      </c>
      <c r="C39" s="34" t="s">
        <v>20</v>
      </c>
      <c r="D39" s="48">
        <v>527.08000000000004</v>
      </c>
      <c r="E39" s="48">
        <v>99.1</v>
      </c>
    </row>
    <row r="40" spans="1:5" ht="12.75" x14ac:dyDescent="0.2">
      <c r="A40" s="32" t="s">
        <v>65</v>
      </c>
      <c r="B40" s="50" t="s">
        <v>66</v>
      </c>
      <c r="C40" s="34" t="s">
        <v>20</v>
      </c>
      <c r="D40" s="48">
        <v>23750.965</v>
      </c>
      <c r="E40" s="48">
        <v>2341.11</v>
      </c>
    </row>
    <row r="41" spans="1:5" ht="12.75" x14ac:dyDescent="0.2">
      <c r="A41" s="32" t="s">
        <v>67</v>
      </c>
      <c r="B41" s="50" t="s">
        <v>68</v>
      </c>
      <c r="C41" s="34" t="s">
        <v>20</v>
      </c>
      <c r="D41" s="48">
        <v>486.29999999999995</v>
      </c>
      <c r="E41" s="48">
        <v>225.64</v>
      </c>
    </row>
    <row r="42" spans="1:5" ht="12.75" x14ac:dyDescent="0.2">
      <c r="A42" s="32" t="s">
        <v>69</v>
      </c>
      <c r="B42" s="51" t="s">
        <v>81</v>
      </c>
      <c r="C42" s="34" t="s">
        <v>20</v>
      </c>
      <c r="D42" s="35">
        <v>71834.820000000007</v>
      </c>
      <c r="E42" s="35">
        <f>[1]свод!$AG$29</f>
        <v>31300</v>
      </c>
    </row>
    <row r="43" spans="1:5" ht="12.75" hidden="1" x14ac:dyDescent="0.2">
      <c r="A43" s="32" t="s">
        <v>70</v>
      </c>
      <c r="B43" s="51" t="s">
        <v>71</v>
      </c>
      <c r="C43" s="34" t="s">
        <v>20</v>
      </c>
      <c r="D43" s="48">
        <f>81727.47</f>
        <v>81727.47</v>
      </c>
      <c r="E43" s="48"/>
    </row>
    <row r="44" spans="1:5" ht="12.75" hidden="1" x14ac:dyDescent="0.2">
      <c r="A44" s="32" t="s">
        <v>72</v>
      </c>
      <c r="B44" s="51" t="s">
        <v>96</v>
      </c>
      <c r="C44" s="34" t="s">
        <v>20</v>
      </c>
      <c r="D44" s="48"/>
      <c r="E44" s="48"/>
    </row>
    <row r="45" spans="1:5" ht="12.75" hidden="1" x14ac:dyDescent="0.2">
      <c r="A45" s="32" t="s">
        <v>73</v>
      </c>
      <c r="B45" s="51" t="s">
        <v>74</v>
      </c>
      <c r="C45" s="34" t="s">
        <v>20</v>
      </c>
      <c r="D45" s="48">
        <v>3095.2</v>
      </c>
      <c r="E45" s="48"/>
    </row>
    <row r="46" spans="1:5" ht="12.75" hidden="1" x14ac:dyDescent="0.2">
      <c r="A46" s="32" t="s">
        <v>75</v>
      </c>
      <c r="B46" s="33" t="s">
        <v>76</v>
      </c>
      <c r="C46" s="34" t="s">
        <v>20</v>
      </c>
      <c r="D46" s="48"/>
      <c r="E46" s="48"/>
    </row>
    <row r="47" spans="1:5" ht="15" x14ac:dyDescent="0.25">
      <c r="A47" s="39" t="s">
        <v>77</v>
      </c>
      <c r="B47" s="40" t="s">
        <v>78</v>
      </c>
      <c r="C47" s="41" t="s">
        <v>20</v>
      </c>
      <c r="D47" s="42">
        <f>SUM(D36:D38,D42:D46)</f>
        <v>289156.65447255078</v>
      </c>
      <c r="E47" s="42">
        <f>SUM(E36:E38,E42:E46)</f>
        <v>36183.549830000004</v>
      </c>
    </row>
    <row r="49" spans="1:10" ht="15" customHeight="1" x14ac:dyDescent="0.25">
      <c r="A49" s="43" t="s">
        <v>79</v>
      </c>
      <c r="B49" s="44"/>
      <c r="C49" s="45"/>
      <c r="D49" s="52"/>
      <c r="E49" s="52"/>
    </row>
    <row r="50" spans="1:10" ht="15" customHeight="1" x14ac:dyDescent="0.25">
      <c r="A50" s="43" t="s">
        <v>80</v>
      </c>
      <c r="B50" s="44"/>
      <c r="C50" s="45"/>
      <c r="D50" s="52"/>
      <c r="E50" s="52"/>
    </row>
    <row r="51" spans="1:10" ht="12.75" x14ac:dyDescent="0.2">
      <c r="A51" s="53" t="s">
        <v>82</v>
      </c>
      <c r="B51" s="49" t="s">
        <v>83</v>
      </c>
      <c r="C51" s="34" t="s">
        <v>20</v>
      </c>
      <c r="D51" s="48">
        <f>87799.72</f>
        <v>87799.72</v>
      </c>
      <c r="E51" s="48">
        <f>[1]свод!$AG$62</f>
        <v>20592</v>
      </c>
    </row>
    <row r="52" spans="1:10" ht="12.75" x14ac:dyDescent="0.2">
      <c r="A52" s="53" t="s">
        <v>84</v>
      </c>
      <c r="B52" s="49" t="s">
        <v>85</v>
      </c>
      <c r="C52" s="34" t="s">
        <v>20</v>
      </c>
      <c r="D52" s="48">
        <v>452765.20448882051</v>
      </c>
      <c r="E52" s="48">
        <f>[1]свод!$AG$58</f>
        <v>880</v>
      </c>
    </row>
    <row r="53" spans="1:10" ht="12.75" x14ac:dyDescent="0.2">
      <c r="A53" s="53" t="s">
        <v>86</v>
      </c>
      <c r="B53" s="49" t="s">
        <v>87</v>
      </c>
      <c r="C53" s="34" t="s">
        <v>20</v>
      </c>
      <c r="D53" s="48"/>
      <c r="E53" s="48"/>
    </row>
    <row r="54" spans="1:10" ht="12.75" x14ac:dyDescent="0.2">
      <c r="A54" s="53" t="s">
        <v>88</v>
      </c>
      <c r="B54" s="49" t="s">
        <v>89</v>
      </c>
      <c r="C54" s="34" t="s">
        <v>20</v>
      </c>
      <c r="D54" s="48"/>
      <c r="E54" s="48"/>
    </row>
    <row r="55" spans="1:10" ht="12.75" x14ac:dyDescent="0.2">
      <c r="A55" s="53" t="s">
        <v>90</v>
      </c>
      <c r="B55" s="49" t="s">
        <v>91</v>
      </c>
      <c r="C55" s="34" t="s">
        <v>20</v>
      </c>
      <c r="D55" s="48">
        <f>21437.93</f>
        <v>21437.93</v>
      </c>
      <c r="E55" s="48">
        <f>'[4]ФП подроб 2015'!$AK$38</f>
        <v>3029.1147040000005</v>
      </c>
    </row>
    <row r="56" spans="1:10" ht="15" x14ac:dyDescent="0.25">
      <c r="A56" s="39" t="s">
        <v>92</v>
      </c>
      <c r="B56" s="40" t="s">
        <v>93</v>
      </c>
      <c r="C56" s="41" t="s">
        <v>20</v>
      </c>
      <c r="D56" s="42">
        <f>SUM(D51:D55)</f>
        <v>562002.85448882054</v>
      </c>
      <c r="E56" s="42">
        <f>SUM(E51:E55)</f>
        <v>24501.114704</v>
      </c>
    </row>
    <row r="57" spans="1:10" ht="15" x14ac:dyDescent="0.25">
      <c r="A57" s="54" t="s">
        <v>94</v>
      </c>
      <c r="B57" s="55" t="s">
        <v>95</v>
      </c>
      <c r="C57" s="41" t="s">
        <v>20</v>
      </c>
      <c r="D57" s="42">
        <f>SUM(D33,D47,D56)</f>
        <v>1201904.1567768578</v>
      </c>
      <c r="E57" s="42">
        <f>SUM(E33,E47,E56)</f>
        <v>559866.95909861743</v>
      </c>
      <c r="H57" s="56">
        <f>'[4]Расчет НВВ на 2019 АО МЭС'!$BP$61</f>
        <v>559866.95541376993</v>
      </c>
      <c r="J57" s="56">
        <f>H57-E57</f>
        <v>-3.6848474992439151E-3</v>
      </c>
    </row>
  </sheetData>
  <pageMargins left="0.7" right="0.7" top="0.75" bottom="0.75" header="0.3" footer="0.3"/>
  <pageSetup paperSize="9" scale="9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2017</vt:lpstr>
      <vt:lpstr>2018</vt:lpstr>
      <vt:lpstr>2019</vt:lpstr>
      <vt:lpstr>'2017'!Область_печати</vt:lpstr>
      <vt:lpstr>'2018'!Область_печати</vt:lpstr>
      <vt:lpstr>'2019'!Область_печати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otylov</dc:creator>
  <cp:lastModifiedBy>lazareva</cp:lastModifiedBy>
  <cp:lastPrinted>2018-05-02T21:36:17Z</cp:lastPrinted>
  <dcterms:created xsi:type="dcterms:W3CDTF">2016-04-01T09:41:49Z</dcterms:created>
  <dcterms:modified xsi:type="dcterms:W3CDTF">2018-05-02T22:31:38Z</dcterms:modified>
</cp:coreProperties>
</file>